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BF6D2EBD-E0A6-42B3-8D1F-F48170A86791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MAP!$P$1:$P$287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G122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H2" i="23"/>
  <c r="FAV8" i="15"/>
  <c r="FAW8" i="15"/>
  <c r="FAV9" i="15"/>
  <c r="FAW9" i="15"/>
  <c r="FAV10" i="15"/>
  <c r="FAW10" i="15"/>
  <c r="FAV11" i="15"/>
  <c r="FAW11" i="15"/>
  <c r="FAV12" i="15"/>
  <c r="FAW12" i="15" s="1"/>
  <c r="FAV13" i="15"/>
  <c r="FAW13" i="15" s="1"/>
  <c r="FAV14" i="15"/>
  <c r="FAW14" i="15"/>
  <c r="FAV15" i="15"/>
  <c r="FAW15" i="15"/>
  <c r="FAV16" i="15"/>
  <c r="FAW16" i="15"/>
  <c r="FAV17" i="15"/>
  <c r="FAW17" i="15"/>
  <c r="FAV18" i="15"/>
  <c r="FAW18" i="15"/>
  <c r="FAV19" i="15"/>
  <c r="FAW19" i="15"/>
  <c r="FAV20" i="15"/>
  <c r="FAW20" i="15" s="1"/>
  <c r="FAV21" i="15"/>
  <c r="FAW21" i="15"/>
  <c r="FAV22" i="15"/>
  <c r="FAW22" i="15" s="1"/>
  <c r="FAV23" i="15"/>
  <c r="FAW23" i="15" s="1"/>
  <c r="FAW7" i="15"/>
  <c r="FAV7" i="15"/>
  <c r="ENE26" i="19"/>
  <c r="ENF26" i="19"/>
  <c r="ENE27" i="19"/>
  <c r="ENF27" i="19"/>
  <c r="ENE28" i="19"/>
  <c r="ENF28" i="19"/>
  <c r="ENE29" i="19"/>
  <c r="ENF29" i="19"/>
  <c r="ENE25" i="19"/>
  <c r="ENF25" i="19" s="1"/>
  <c r="ENE8" i="19"/>
  <c r="ENF8" i="19" s="1"/>
  <c r="ENE9" i="19"/>
  <c r="ENF9" i="19" s="1"/>
  <c r="ENE10" i="19"/>
  <c r="ENF10" i="19"/>
  <c r="ENE11" i="19"/>
  <c r="ENF11" i="19"/>
  <c r="ENE12" i="19"/>
  <c r="ENF12" i="19" s="1"/>
  <c r="ENE13" i="19"/>
  <c r="ENF13" i="19"/>
  <c r="ENE14" i="19"/>
  <c r="ENF14" i="19" s="1"/>
  <c r="ENE15" i="19"/>
  <c r="ENF15" i="19"/>
  <c r="ENE16" i="19"/>
  <c r="ENF16" i="19"/>
  <c r="ENF7" i="19"/>
  <c r="ENE7" i="19"/>
  <c r="FAE31" i="18"/>
  <c r="FAF31" i="18" s="1"/>
  <c r="FAE32" i="18"/>
  <c r="FAF32" i="18"/>
  <c r="FAE33" i="18"/>
  <c r="FAF33" i="18"/>
  <c r="FAE34" i="18"/>
  <c r="FAF34" i="18"/>
  <c r="FAE35" i="18"/>
  <c r="FAF35" i="18"/>
  <c r="FAE36" i="18"/>
  <c r="FAF36" i="18"/>
  <c r="FAE37" i="18"/>
  <c r="FAF37" i="18" s="1"/>
  <c r="FAE38" i="18"/>
  <c r="FAF38" i="18" s="1"/>
  <c r="FAE39" i="18"/>
  <c r="FAF39" i="18"/>
  <c r="FAE40" i="18"/>
  <c r="FAF40" i="18"/>
  <c r="FAE41" i="18"/>
  <c r="FAF41" i="18" s="1"/>
  <c r="FAE42" i="18"/>
  <c r="FAF42" i="18"/>
  <c r="FAE43" i="18"/>
  <c r="FAF43" i="18" s="1"/>
  <c r="FAE44" i="18"/>
  <c r="FAF44" i="18"/>
  <c r="FAE45" i="18"/>
  <c r="FAF45" i="18"/>
  <c r="FAE46" i="18"/>
  <c r="FAF46" i="18"/>
  <c r="FAE47" i="18"/>
  <c r="FAF47" i="18"/>
  <c r="FAE48" i="18"/>
  <c r="FAF48" i="18" s="1"/>
  <c r="FAE49" i="18"/>
  <c r="FAF49" i="18"/>
  <c r="FAE50" i="18"/>
  <c r="FAF50" i="18"/>
  <c r="FAE51" i="18"/>
  <c r="FAF51" i="18" s="1"/>
  <c r="FAE52" i="18"/>
  <c r="FAF52" i="18"/>
  <c r="FAE53" i="18"/>
  <c r="FAF53" i="18"/>
  <c r="FAE54" i="18"/>
  <c r="FAF54" i="18"/>
  <c r="FAE55" i="18"/>
  <c r="FAF55" i="18"/>
  <c r="FAE56" i="18"/>
  <c r="FAF56" i="18"/>
  <c r="FAE57" i="18"/>
  <c r="FAF57" i="18"/>
  <c r="FAE58" i="18"/>
  <c r="FAF58" i="18" s="1"/>
  <c r="FAE59" i="18"/>
  <c r="FAF59" i="18" s="1"/>
  <c r="FAE60" i="18"/>
  <c r="FAF60" i="18"/>
  <c r="FAE61" i="18"/>
  <c r="FAF61" i="18" s="1"/>
  <c r="FAE30" i="18"/>
  <c r="FAF30" i="18" s="1"/>
  <c r="FAE8" i="18"/>
  <c r="FAF8" i="18"/>
  <c r="FAE9" i="18"/>
  <c r="FAF9" i="18" s="1"/>
  <c r="FAE10" i="18"/>
  <c r="FAF10" i="18" s="1"/>
  <c r="FAE11" i="18"/>
  <c r="FAF11" i="18"/>
  <c r="FAE12" i="18"/>
  <c r="FAF12" i="18"/>
  <c r="FAE13" i="18"/>
  <c r="FAF13" i="18" s="1"/>
  <c r="FAE14" i="18"/>
  <c r="FAF14" i="18" s="1"/>
  <c r="FAE15" i="18"/>
  <c r="FAF15" i="18"/>
  <c r="FAE16" i="18"/>
  <c r="FAF16" i="18"/>
  <c r="FAE17" i="18"/>
  <c r="FAF17" i="18"/>
  <c r="FAE18" i="18"/>
  <c r="FAF18" i="18" s="1"/>
  <c r="FAE19" i="18"/>
  <c r="FAF19" i="18"/>
  <c r="FAE20" i="18"/>
  <c r="FAF20" i="18" s="1"/>
  <c r="FAE21" i="18"/>
  <c r="FAF21" i="18" s="1"/>
  <c r="FAE7" i="18"/>
  <c r="FAF7" i="18" s="1"/>
  <c r="HY13" i="17"/>
  <c r="HZ13" i="17" s="1"/>
  <c r="HY14" i="17"/>
  <c r="HZ14" i="17" s="1"/>
  <c r="HY15" i="17"/>
  <c r="HZ15" i="17"/>
  <c r="HY16" i="17"/>
  <c r="HZ16" i="17" s="1"/>
  <c r="HY17" i="17"/>
  <c r="HZ17" i="17" s="1"/>
  <c r="HY18" i="17"/>
  <c r="HZ18" i="17" s="1"/>
  <c r="HY19" i="17"/>
  <c r="HZ19" i="17" s="1"/>
  <c r="HY20" i="17"/>
  <c r="HZ20" i="17"/>
  <c r="HY21" i="17"/>
  <c r="HZ21" i="17" s="1"/>
  <c r="HY22" i="17"/>
  <c r="HZ22" i="17"/>
  <c r="HY23" i="17"/>
  <c r="HZ23" i="17"/>
  <c r="HY24" i="17"/>
  <c r="HZ24" i="17" s="1"/>
  <c r="HY25" i="17"/>
  <c r="HZ25" i="17" s="1"/>
  <c r="HY26" i="17"/>
  <c r="HZ26" i="17" s="1"/>
  <c r="HY27" i="17"/>
  <c r="HZ27" i="17"/>
  <c r="HY28" i="17"/>
  <c r="HZ28" i="17" s="1"/>
  <c r="HY29" i="17"/>
  <c r="HZ29" i="17"/>
  <c r="HY30" i="17"/>
  <c r="HZ30" i="17"/>
  <c r="HY31" i="17"/>
  <c r="HZ31" i="17" s="1"/>
  <c r="HY32" i="17"/>
  <c r="HZ32" i="17"/>
  <c r="HY33" i="17"/>
  <c r="HZ33" i="17" s="1"/>
  <c r="HY34" i="17"/>
  <c r="HZ34" i="17"/>
  <c r="HY35" i="17"/>
  <c r="HZ35" i="17"/>
  <c r="HY36" i="17"/>
  <c r="HZ36" i="17" s="1"/>
  <c r="HY37" i="17"/>
  <c r="HZ37" i="17" s="1"/>
  <c r="HY38" i="17"/>
  <c r="HZ38" i="17" s="1"/>
  <c r="HY39" i="17"/>
  <c r="HZ39" i="17"/>
  <c r="HY40" i="17"/>
  <c r="HZ40" i="17" s="1"/>
  <c r="HY41" i="17"/>
  <c r="HZ41" i="17"/>
  <c r="HY42" i="17"/>
  <c r="HZ42" i="17"/>
  <c r="HY43" i="17"/>
  <c r="HZ43" i="17" s="1"/>
  <c r="HY44" i="17"/>
  <c r="HZ44" i="17" s="1"/>
  <c r="HY45" i="17"/>
  <c r="HZ45" i="17"/>
  <c r="HY46" i="17"/>
  <c r="HZ46" i="17" s="1"/>
  <c r="HY47" i="17"/>
  <c r="HZ47" i="17" s="1"/>
  <c r="HY48" i="17"/>
  <c r="HZ48" i="17"/>
  <c r="HY49" i="17"/>
  <c r="HZ49" i="17" s="1"/>
  <c r="HY50" i="17"/>
  <c r="HZ50" i="17"/>
  <c r="HY51" i="17"/>
  <c r="HZ51" i="17" s="1"/>
  <c r="HY52" i="17"/>
  <c r="HZ52" i="17"/>
  <c r="HY53" i="17"/>
  <c r="HZ53" i="17"/>
  <c r="HY54" i="17"/>
  <c r="HZ54" i="17"/>
  <c r="HY55" i="17"/>
  <c r="HZ55" i="17" s="1"/>
  <c r="HY56" i="17"/>
  <c r="HZ56" i="17" s="1"/>
  <c r="HY57" i="17"/>
  <c r="HZ57" i="17" s="1"/>
  <c r="HY58" i="17"/>
  <c r="HZ58" i="17" s="1"/>
  <c r="HY59" i="17"/>
  <c r="HZ59" i="17"/>
  <c r="HY60" i="17"/>
  <c r="HZ60" i="17"/>
  <c r="HY61" i="17"/>
  <c r="HZ61" i="17" s="1"/>
  <c r="HY62" i="17"/>
  <c r="HZ62" i="17" s="1"/>
  <c r="HY63" i="17"/>
  <c r="HZ63" i="17"/>
  <c r="HY64" i="17"/>
  <c r="HZ64" i="17" s="1"/>
  <c r="HY65" i="17"/>
  <c r="HZ65" i="17"/>
  <c r="HY66" i="17"/>
  <c r="HZ66" i="17"/>
  <c r="HY67" i="17"/>
  <c r="HZ67" i="17" s="1"/>
  <c r="HY68" i="17"/>
  <c r="HZ68" i="17" s="1"/>
  <c r="HY69" i="17"/>
  <c r="HZ69" i="17"/>
  <c r="HY70" i="17"/>
  <c r="HZ70" i="17"/>
  <c r="HY71" i="17"/>
  <c r="HZ71" i="17"/>
  <c r="HY72" i="17"/>
  <c r="HZ72" i="17"/>
  <c r="HY12" i="17"/>
  <c r="HZ12" i="17" s="1"/>
  <c r="W58" i="18"/>
  <c r="W59" i="18"/>
  <c r="W60" i="18"/>
  <c r="W61" i="18"/>
  <c r="EZX58" i="18"/>
  <c r="EZX59" i="18"/>
  <c r="EZX60" i="18"/>
  <c r="EZX61" i="18"/>
  <c r="F84" i="17"/>
  <c r="C33" i="22"/>
  <c r="B33" i="22" s="1"/>
  <c r="A33" i="22" s="1"/>
  <c r="C34" i="22"/>
  <c r="B34" i="22" s="1"/>
  <c r="A34" i="22" s="1"/>
  <c r="C35" i="22"/>
  <c r="B35" i="22" s="1"/>
  <c r="A35" i="22" s="1"/>
  <c r="C30" i="22"/>
  <c r="B30" i="22" s="1"/>
  <c r="A30" i="22" s="1"/>
  <c r="C31" i="22"/>
  <c r="B31" i="22" s="1"/>
  <c r="A31" i="22" s="1"/>
  <c r="C32" i="22"/>
  <c r="B32" i="22" s="1"/>
  <c r="A32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C28" i="22"/>
  <c r="B28" i="22" s="1"/>
  <c r="A28" i="22" s="1"/>
  <c r="C29" i="22"/>
  <c r="B29" i="22" s="1"/>
  <c r="A29" i="22" s="1"/>
  <c r="L59" i="18"/>
  <c r="M59" i="18" s="1"/>
  <c r="X39" i="17"/>
  <c r="X40" i="17"/>
  <c r="X41" i="17"/>
  <c r="X42" i="17"/>
  <c r="X43" i="17"/>
  <c r="Q39" i="17"/>
  <c r="Q50" i="17"/>
  <c r="S50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 s="1"/>
  <c r="FAN10" i="15"/>
  <c r="FAO10" i="15" s="1"/>
  <c r="FAN11" i="15"/>
  <c r="FAO11" i="15" s="1"/>
  <c r="FAN12" i="15"/>
  <c r="FAO12" i="15" s="1"/>
  <c r="FAN13" i="15"/>
  <c r="FAO13" i="15"/>
  <c r="FAN14" i="15"/>
  <c r="FAO14" i="15" s="1"/>
  <c r="FAN15" i="15"/>
  <c r="FAO15" i="15" s="1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 s="1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 s="1"/>
  <c r="EMW12" i="19"/>
  <c r="EMX12" i="19" s="1"/>
  <c r="EMW13" i="19"/>
  <c r="EMX13" i="19"/>
  <c r="EMW14" i="19"/>
  <c r="EMX14" i="19" s="1"/>
  <c r="EMW15" i="19"/>
  <c r="EMX15" i="19"/>
  <c r="EMW16" i="19"/>
  <c r="EMX16" i="19"/>
  <c r="EMW7" i="19"/>
  <c r="EMX7" i="19" s="1"/>
  <c r="EZW31" i="18"/>
  <c r="EZX31" i="18" s="1"/>
  <c r="EZW32" i="18"/>
  <c r="EZX32" i="18"/>
  <c r="EZW33" i="18"/>
  <c r="EZX33" i="18"/>
  <c r="EZW34" i="18"/>
  <c r="EZX34" i="18" s="1"/>
  <c r="EZW35" i="18"/>
  <c r="EZX35" i="18"/>
  <c r="EZW36" i="18"/>
  <c r="EZX36" i="18"/>
  <c r="EZW37" i="18"/>
  <c r="EZX37" i="18" s="1"/>
  <c r="EZW38" i="18"/>
  <c r="EZX38" i="18" s="1"/>
  <c r="EZW39" i="18"/>
  <c r="EZX39" i="18" s="1"/>
  <c r="EZW40" i="18"/>
  <c r="EZX40" i="18" s="1"/>
  <c r="EZW41" i="18"/>
  <c r="EZX41" i="18" s="1"/>
  <c r="EZW42" i="18"/>
  <c r="EZX42" i="18" s="1"/>
  <c r="EZW43" i="18"/>
  <c r="EZX43" i="18" s="1"/>
  <c r="EZW44" i="18"/>
  <c r="EZX44" i="18"/>
  <c r="EZW45" i="18"/>
  <c r="EZX45" i="18" s="1"/>
  <c r="EZW46" i="18"/>
  <c r="EZX46" i="18" s="1"/>
  <c r="EZW47" i="18"/>
  <c r="EZX47" i="18"/>
  <c r="EZW48" i="18"/>
  <c r="EZX48" i="18"/>
  <c r="EZW49" i="18"/>
  <c r="EZX49" i="18"/>
  <c r="EZW50" i="18"/>
  <c r="EZX50" i="18" s="1"/>
  <c r="EZW51" i="18"/>
  <c r="EZX51" i="18" s="1"/>
  <c r="EZW52" i="18"/>
  <c r="EZX52" i="18"/>
  <c r="EZW53" i="18"/>
  <c r="EZX53" i="18"/>
  <c r="EZW54" i="18"/>
  <c r="EZX54" i="18" s="1"/>
  <c r="EZW55" i="18"/>
  <c r="EZX55" i="18"/>
  <c r="EZW56" i="18"/>
  <c r="EZX56" i="18" s="1"/>
  <c r="EZW57" i="18"/>
  <c r="EZX57" i="18"/>
  <c r="EZW60" i="18"/>
  <c r="EZW61" i="18"/>
  <c r="EZW30" i="18"/>
  <c r="EZX30" i="18" s="1"/>
  <c r="EZW8" i="18"/>
  <c r="EZX8" i="18" s="1"/>
  <c r="EZW9" i="18"/>
  <c r="EZX9" i="18" s="1"/>
  <c r="EZW10" i="18"/>
  <c r="EZX10" i="18" s="1"/>
  <c r="EZW11" i="18"/>
  <c r="EZX11" i="18" s="1"/>
  <c r="EZW12" i="18"/>
  <c r="EZX12" i="18"/>
  <c r="EZW13" i="18"/>
  <c r="EZX13" i="18" s="1"/>
  <c r="EZW14" i="18"/>
  <c r="EZX14" i="18"/>
  <c r="EZW15" i="18"/>
  <c r="EZX15" i="18" s="1"/>
  <c r="EZW16" i="18"/>
  <c r="EZX16" i="18" s="1"/>
  <c r="EZW17" i="18"/>
  <c r="EZX17" i="18" s="1"/>
  <c r="EZW18" i="18"/>
  <c r="EZX18" i="18" s="1"/>
  <c r="EZW19" i="18"/>
  <c r="EZX19" i="18" s="1"/>
  <c r="EZW20" i="18"/>
  <c r="EZX20" i="18"/>
  <c r="EZW21" i="18"/>
  <c r="EZX21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 s="1"/>
  <c r="HQ21" i="17"/>
  <c r="HR21" i="17" s="1"/>
  <c r="HQ22" i="17"/>
  <c r="HR22" i="17" s="1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 s="1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 s="1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/>
  <c r="HQ52" i="17"/>
  <c r="HR52" i="17"/>
  <c r="HQ53" i="17"/>
  <c r="HR53" i="17" s="1"/>
  <c r="HQ54" i="17"/>
  <c r="HR54" i="17" s="1"/>
  <c r="HQ55" i="17"/>
  <c r="HR55" i="17" s="1"/>
  <c r="HQ56" i="17"/>
  <c r="HR56" i="17" s="1"/>
  <c r="HQ57" i="17"/>
  <c r="HR57" i="17" s="1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 s="1"/>
  <c r="HQ64" i="17"/>
  <c r="HR64" i="17"/>
  <c r="HQ65" i="17"/>
  <c r="HR65" i="17" s="1"/>
  <c r="HQ66" i="17"/>
  <c r="HR66" i="17" s="1"/>
  <c r="HQ67" i="17"/>
  <c r="HR67" i="17" s="1"/>
  <c r="HQ68" i="17"/>
  <c r="HR68" i="17" s="1"/>
  <c r="HQ69" i="17"/>
  <c r="HR69" i="17" s="1"/>
  <c r="HQ70" i="17"/>
  <c r="HR70" i="17" s="1"/>
  <c r="HQ71" i="17"/>
  <c r="HR71" i="17"/>
  <c r="HQ72" i="17"/>
  <c r="HR72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/>
  <c r="HI50" i="17"/>
  <c r="HJ50" i="17" s="1"/>
  <c r="HI51" i="17"/>
  <c r="HJ51" i="17"/>
  <c r="HI52" i="17"/>
  <c r="HJ52" i="17" s="1"/>
  <c r="HI53" i="17"/>
  <c r="HJ53" i="17" s="1"/>
  <c r="HI54" i="17"/>
  <c r="HJ54" i="17" s="1"/>
  <c r="HI55" i="17"/>
  <c r="HJ55" i="17"/>
  <c r="HI56" i="17"/>
  <c r="HJ56" i="17" s="1"/>
  <c r="HI57" i="17"/>
  <c r="HJ57" i="17" s="1"/>
  <c r="HI58" i="17"/>
  <c r="HJ58" i="17" s="1"/>
  <c r="HI59" i="17"/>
  <c r="HJ59" i="17" s="1"/>
  <c r="HI60" i="17"/>
  <c r="HJ60" i="17"/>
  <c r="HI61" i="17"/>
  <c r="HJ61" i="17" s="1"/>
  <c r="HI62" i="17"/>
  <c r="HJ62" i="17" s="1"/>
  <c r="HI63" i="17"/>
  <c r="HJ63" i="17" s="1"/>
  <c r="HI64" i="17"/>
  <c r="HJ64" i="17"/>
  <c r="HI65" i="17"/>
  <c r="HJ65" i="17" s="1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/>
  <c r="HI72" i="17"/>
  <c r="HJ72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60" i="18"/>
  <c r="EZP60" i="18"/>
  <c r="EZO61" i="18"/>
  <c r="EZP61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/>
  <c r="HA49" i="17"/>
  <c r="HB49" i="17"/>
  <c r="HA50" i="17"/>
  <c r="HB50" i="17" s="1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/>
  <c r="HA57" i="17"/>
  <c r="HB57" i="17"/>
  <c r="HA58" i="17"/>
  <c r="HB58" i="17"/>
  <c r="HA59" i="17"/>
  <c r="HB59" i="17"/>
  <c r="HA60" i="17"/>
  <c r="HB60" i="17" s="1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/>
  <c r="HA70" i="17"/>
  <c r="HB70" i="17" s="1"/>
  <c r="HA71" i="17"/>
  <c r="HB71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 s="1"/>
  <c r="EZG41" i="18"/>
  <c r="EZH41" i="18" s="1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 s="1"/>
  <c r="EZG55" i="18"/>
  <c r="EZH55" i="18" s="1"/>
  <c r="EZG56" i="18"/>
  <c r="EZH56" i="18"/>
  <c r="EZG57" i="18"/>
  <c r="EZH57" i="18"/>
  <c r="EZG60" i="18"/>
  <c r="EZH60" i="18" s="1"/>
  <c r="EZG61" i="18"/>
  <c r="EZH61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3" i="18" l="1"/>
  <c r="D9" i="20" s="1"/>
  <c r="D16" i="20" s="1"/>
  <c r="G63" i="18"/>
  <c r="H63" i="18"/>
  <c r="I63" i="18"/>
  <c r="K63" i="18"/>
  <c r="N63" i="18"/>
  <c r="O63" i="18"/>
  <c r="P63" i="18"/>
  <c r="Q63" i="18"/>
  <c r="R63" i="18"/>
  <c r="S63" i="18"/>
  <c r="T63" i="18"/>
  <c r="U63" i="18"/>
  <c r="V63" i="18"/>
  <c r="X63" i="18"/>
  <c r="E63" i="18"/>
  <c r="C9" i="20" s="1"/>
  <c r="C16" i="20" s="1"/>
  <c r="F62" i="18"/>
  <c r="G62" i="18"/>
  <c r="H62" i="18"/>
  <c r="I62" i="18"/>
  <c r="N62" i="18"/>
  <c r="P62" i="18"/>
  <c r="S62" i="18"/>
  <c r="U62" i="18"/>
  <c r="X62" i="18"/>
  <c r="E62" i="18"/>
  <c r="E9" i="20"/>
  <c r="E16" i="20" s="1"/>
  <c r="F9" i="20"/>
  <c r="F16" i="20" s="1"/>
  <c r="G9" i="20"/>
  <c r="G16" i="20" s="1"/>
  <c r="I9" i="20"/>
  <c r="I16" i="20" s="1"/>
  <c r="W57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61" i="18"/>
  <c r="EYZ61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 s="1"/>
  <c r="GS20" i="17"/>
  <c r="GT20" i="17" s="1"/>
  <c r="GS21" i="17"/>
  <c r="GT21" i="17" s="1"/>
  <c r="GS22" i="17"/>
  <c r="GT22" i="17"/>
  <c r="GS23" i="17"/>
  <c r="GT23" i="17" s="1"/>
  <c r="GS24" i="17"/>
  <c r="GT24" i="17" s="1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/>
  <c r="GS52" i="17"/>
  <c r="GT52" i="17" s="1"/>
  <c r="GS53" i="17"/>
  <c r="GT53" i="17" s="1"/>
  <c r="GS54" i="17"/>
  <c r="GT54" i="17"/>
  <c r="GS55" i="17"/>
  <c r="GT55" i="17" s="1"/>
  <c r="GS56" i="17"/>
  <c r="GT56" i="17" s="1"/>
  <c r="GS57" i="17"/>
  <c r="GT57" i="17"/>
  <c r="GS58" i="17"/>
  <c r="GT58" i="17" s="1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/>
  <c r="GS67" i="17"/>
  <c r="GT67" i="17" s="1"/>
  <c r="GS68" i="17"/>
  <c r="GT68" i="17" s="1"/>
  <c r="GS69" i="17"/>
  <c r="GT69" i="17" s="1"/>
  <c r="GS70" i="17"/>
  <c r="GT70" i="17" s="1"/>
  <c r="GS71" i="17"/>
  <c r="GT71" i="17" s="1"/>
  <c r="GS72" i="17"/>
  <c r="GT72" i="17" s="1"/>
  <c r="GS12" i="17"/>
  <c r="GT12" i="17" s="1"/>
  <c r="W63" i="18" l="1"/>
  <c r="X45" i="17"/>
  <c r="X46" i="17"/>
  <c r="X47" i="17"/>
  <c r="X48" i="17"/>
  <c r="X49" i="17"/>
  <c r="X50" i="17"/>
  <c r="X51" i="17"/>
  <c r="W18" i="15"/>
  <c r="O18" i="15"/>
  <c r="Q10" i="15"/>
  <c r="Q18" i="15"/>
  <c r="R18" i="15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1" i="17"/>
  <c r="W40" i="17" l="1"/>
  <c r="U40" i="17"/>
  <c r="A139" i="25"/>
  <c r="G145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61" i="18"/>
  <c r="EYR61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1" i="17"/>
  <c r="GL51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12" i="17"/>
  <c r="GL12" i="17" s="1"/>
  <c r="A143" i="25" l="1"/>
  <c r="A144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61" i="18"/>
  <c r="EYJ61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1" i="17"/>
  <c r="GD51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/>
  <c r="GC69" i="17"/>
  <c r="GD69" i="17" s="1"/>
  <c r="GC70" i="17"/>
  <c r="GD70" i="17"/>
  <c r="GC71" i="17"/>
  <c r="GD71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61" i="18"/>
  <c r="EYB61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1" i="17"/>
  <c r="FV51" i="17" s="1"/>
  <c r="FU52" i="17"/>
  <c r="FV52" i="17"/>
  <c r="FU53" i="17"/>
  <c r="FV53" i="17" s="1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/>
  <c r="FU60" i="17"/>
  <c r="FV60" i="17" s="1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/>
  <c r="FU69" i="17"/>
  <c r="FV69" i="17" s="1"/>
  <c r="FU70" i="17"/>
  <c r="FV70" i="17" s="1"/>
  <c r="FU71" i="17"/>
  <c r="FV71" i="17" s="1"/>
  <c r="FU72" i="17"/>
  <c r="FV72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1" i="17"/>
  <c r="FN51" i="17" s="1"/>
  <c r="FM52" i="17"/>
  <c r="FN52" i="17" s="1"/>
  <c r="FM53" i="17"/>
  <c r="FN53" i="17" s="1"/>
  <c r="FM54" i="17"/>
  <c r="FN54" i="17" s="1"/>
  <c r="FM55" i="17"/>
  <c r="FN55" i="17" s="1"/>
  <c r="FM56" i="17"/>
  <c r="FN56" i="17"/>
  <c r="FM57" i="17"/>
  <c r="FN57" i="17" s="1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 s="1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 s="1"/>
  <c r="EXS61" i="18"/>
  <c r="EXT61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61" i="18"/>
  <c r="EXL61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 s="1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1" i="17"/>
  <c r="FF51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/>
  <c r="FE65" i="17"/>
  <c r="FF65" i="17" s="1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1" i="17"/>
  <c r="EX51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/>
  <c r="EW62" i="17"/>
  <c r="EX62" i="17" s="1"/>
  <c r="EW63" i="17"/>
  <c r="EX63" i="17" s="1"/>
  <c r="EW64" i="17"/>
  <c r="EX64" i="17"/>
  <c r="EW65" i="17"/>
  <c r="EX65" i="17" s="1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61" i="18"/>
  <c r="EXD61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1" i="17"/>
  <c r="EP51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 s="1"/>
  <c r="EWU61" i="18"/>
  <c r="EWV61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3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1" i="17"/>
  <c r="EH51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61" i="18"/>
  <c r="EWN61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1" i="17"/>
  <c r="DZ51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/>
  <c r="DY67" i="17"/>
  <c r="DZ67" i="17" s="1"/>
  <c r="DY68" i="17"/>
  <c r="DZ68" i="17" s="1"/>
  <c r="DY69" i="17"/>
  <c r="DZ69" i="17" s="1"/>
  <c r="DY70" i="17"/>
  <c r="DZ70" i="17" s="1"/>
  <c r="DY71" i="17"/>
  <c r="DZ71" i="17" s="1"/>
  <c r="DY72" i="17"/>
  <c r="DZ72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61" i="18"/>
  <c r="EWF61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61" i="18"/>
  <c r="EVX61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 s="1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 s="1"/>
  <c r="DQ51" i="17"/>
  <c r="DR51" i="17" s="1"/>
  <c r="DQ52" i="17"/>
  <c r="DR52" i="17"/>
  <c r="DQ53" i="17"/>
  <c r="DR53" i="17"/>
  <c r="DQ54" i="17"/>
  <c r="DR54" i="17" s="1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/>
  <c r="DQ66" i="17"/>
  <c r="DR66" i="17" s="1"/>
  <c r="DQ67" i="17"/>
  <c r="DR67" i="17"/>
  <c r="DQ68" i="17"/>
  <c r="DR68" i="17" s="1"/>
  <c r="DQ69" i="17"/>
  <c r="DR69" i="17" s="1"/>
  <c r="DQ70" i="17"/>
  <c r="DR70" i="17" s="1"/>
  <c r="DQ71" i="17"/>
  <c r="DR71" i="17" s="1"/>
  <c r="DQ72" i="17"/>
  <c r="DR72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1" i="17"/>
  <c r="DJ51" i="17" s="1"/>
  <c r="DI52" i="17"/>
  <c r="DJ52" i="17" s="1"/>
  <c r="DI53" i="17"/>
  <c r="DJ53" i="17"/>
  <c r="DI54" i="17"/>
  <c r="DJ54" i="17" s="1"/>
  <c r="DI55" i="17"/>
  <c r="DJ55" i="17"/>
  <c r="DI56" i="17"/>
  <c r="DJ56" i="17" s="1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1" i="17"/>
  <c r="DB51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/>
  <c r="DA70" i="17"/>
  <c r="DB70" i="17" s="1"/>
  <c r="DA71" i="17"/>
  <c r="DB71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61" i="18"/>
  <c r="EVH61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1" i="17"/>
  <c r="CT51" i="17" s="1"/>
  <c r="CS52" i="17"/>
  <c r="CT52" i="17" s="1"/>
  <c r="CS53" i="17"/>
  <c r="CT53" i="17" s="1"/>
  <c r="CS54" i="17"/>
  <c r="CT54" i="17" s="1"/>
  <c r="CS55" i="17"/>
  <c r="CT55" i="17" s="1"/>
  <c r="CS56" i="17"/>
  <c r="CT56" i="17" s="1"/>
  <c r="CS57" i="17"/>
  <c r="CT57" i="17" s="1"/>
  <c r="CS58" i="17"/>
  <c r="CT58" i="17"/>
  <c r="CS59" i="17"/>
  <c r="CT59" i="17"/>
  <c r="CS60" i="17"/>
  <c r="CT60" i="17" s="1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 s="1"/>
  <c r="CS70" i="17"/>
  <c r="CT70" i="17"/>
  <c r="CS71" i="17"/>
  <c r="CT71" i="17" s="1"/>
  <c r="CS72" i="17"/>
  <c r="CT72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61" i="18"/>
  <c r="EUZ61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/>
  <c r="EUQ54" i="18"/>
  <c r="EUR54" i="18" s="1"/>
  <c r="EUQ55" i="18"/>
  <c r="EUR55" i="18"/>
  <c r="EUQ56" i="18"/>
  <c r="EUR56" i="18" s="1"/>
  <c r="EUQ61" i="18"/>
  <c r="EUR61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 s="1"/>
  <c r="CK49" i="17"/>
  <c r="CL49" i="17" s="1"/>
  <c r="CK51" i="17"/>
  <c r="CL51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/>
  <c r="CK68" i="17"/>
  <c r="CL68" i="17" s="1"/>
  <c r="CK69" i="17"/>
  <c r="CL69" i="17" s="1"/>
  <c r="CK70" i="17"/>
  <c r="CL70" i="17" s="1"/>
  <c r="CK71" i="17"/>
  <c r="CL71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2" i="18"/>
  <c r="Z62" i="18"/>
  <c r="AA62" i="18"/>
  <c r="AB62" i="18"/>
  <c r="F73" i="17"/>
  <c r="G73" i="17"/>
  <c r="H73" i="17"/>
  <c r="F5" i="20" s="1"/>
  <c r="I73" i="17"/>
  <c r="G5" i="20" s="1"/>
  <c r="K73" i="17"/>
  <c r="N73" i="17"/>
  <c r="N74" i="17" s="1"/>
  <c r="P73" i="17"/>
  <c r="P74" i="17" s="1"/>
  <c r="Q73" i="17"/>
  <c r="S73" i="17"/>
  <c r="T73" i="17"/>
  <c r="T74" i="17" s="1"/>
  <c r="V73" i="17"/>
  <c r="V74" i="17" s="1"/>
  <c r="E73" i="17"/>
  <c r="G74" i="17" l="1"/>
  <c r="E5" i="20"/>
  <c r="F74" i="17"/>
  <c r="D6" i="20" s="1"/>
  <c r="D5" i="20"/>
  <c r="D13" i="20" s="1"/>
  <c r="E74" i="17"/>
  <c r="C6" i="20" s="1"/>
  <c r="C5" i="20"/>
  <c r="K74" i="17"/>
  <c r="I5" i="20"/>
  <c r="I74" i="17"/>
  <c r="H74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1" i="17"/>
  <c r="CD51" i="17" s="1"/>
  <c r="CC52" i="17"/>
  <c r="CD52" i="17"/>
  <c r="CC53" i="17"/>
  <c r="CD53" i="17" s="1"/>
  <c r="CC54" i="17"/>
  <c r="CD54" i="17"/>
  <c r="CC55" i="17"/>
  <c r="CD55" i="17" s="1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61" i="18"/>
  <c r="EUJ61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52" i="17"/>
  <c r="W71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61" i="18"/>
  <c r="EUB61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 s="1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1" i="17"/>
  <c r="BV51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/>
  <c r="BU59" i="17"/>
  <c r="BV59" i="17" s="1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/>
  <c r="BU12" i="17"/>
  <c r="BV12" i="17" s="1"/>
  <c r="F32" i="20" l="1"/>
  <c r="X52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61" i="18"/>
  <c r="ETT61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 s="1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1" i="17"/>
  <c r="BN51" i="17"/>
  <c r="BM52" i="17"/>
  <c r="BN52" i="17" s="1"/>
  <c r="BM53" i="17"/>
  <c r="BN53" i="17"/>
  <c r="BM54" i="17"/>
  <c r="BN54" i="17" s="1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61" i="18"/>
  <c r="ETL61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 s="1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1" i="17"/>
  <c r="BF51" i="17" s="1"/>
  <c r="BE52" i="17"/>
  <c r="BF52" i="17" s="1"/>
  <c r="BE53" i="17"/>
  <c r="BF53" i="17" s="1"/>
  <c r="BE54" i="17"/>
  <c r="BF54" i="17" s="1"/>
  <c r="BE55" i="17"/>
  <c r="BF55" i="17" s="1"/>
  <c r="BE56" i="17"/>
  <c r="BF56" i="17"/>
  <c r="BE57" i="17"/>
  <c r="BF57" i="17" s="1"/>
  <c r="BE58" i="17"/>
  <c r="BF58" i="17" s="1"/>
  <c r="BE59" i="17"/>
  <c r="BF59" i="17" s="1"/>
  <c r="BE60" i="17"/>
  <c r="BF60" i="17" s="1"/>
  <c r="BE61" i="17"/>
  <c r="BF61" i="17" s="1"/>
  <c r="BE62" i="17"/>
  <c r="BF62" i="17" s="1"/>
  <c r="BE63" i="17"/>
  <c r="BF63" i="17" s="1"/>
  <c r="BE64" i="17"/>
  <c r="BF64" i="17"/>
  <c r="BE65" i="17"/>
  <c r="BF65" i="17" s="1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61" i="18"/>
  <c r="ETD61" i="18" s="1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1" i="17"/>
  <c r="AX51" i="17" s="1"/>
  <c r="AW52" i="17"/>
  <c r="AX52" i="17" s="1"/>
  <c r="AW53" i="17"/>
  <c r="AX53" i="17"/>
  <c r="AW54" i="17"/>
  <c r="AX54" i="17" s="1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/>
  <c r="AW66" i="17"/>
  <c r="AX66" i="17" s="1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12" i="17"/>
  <c r="AX12" i="17" s="1"/>
  <c r="A140" i="25" l="1"/>
  <c r="A148" i="25"/>
  <c r="A149" i="25"/>
  <c r="A119" i="25"/>
  <c r="A123" i="25"/>
  <c r="A127" i="25"/>
  <c r="A131" i="25"/>
  <c r="A94" i="25"/>
  <c r="A102" i="25"/>
  <c r="A112" i="25"/>
  <c r="A115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A147" i="25"/>
  <c r="A145" i="25"/>
  <c r="A142" i="25"/>
  <c r="A141" i="25"/>
  <c r="A138" i="25"/>
  <c r="A137" i="25"/>
  <c r="A136" i="25"/>
  <c r="A135" i="25"/>
  <c r="A134" i="25"/>
  <c r="A133" i="25"/>
  <c r="A132" i="25"/>
  <c r="A130" i="25"/>
  <c r="A129" i="25"/>
  <c r="A128" i="25"/>
  <c r="A126" i="25"/>
  <c r="A125" i="25"/>
  <c r="A124" i="25"/>
  <c r="A122" i="25"/>
  <c r="A121" i="25"/>
  <c r="A120" i="25"/>
  <c r="A118" i="25"/>
  <c r="A117" i="25"/>
  <c r="A116" i="25"/>
  <c r="A114" i="25"/>
  <c r="A113" i="25"/>
  <c r="A111" i="25"/>
  <c r="A110" i="25"/>
  <c r="A109" i="25"/>
  <c r="A107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6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61" i="18"/>
  <c r="ESV61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/>
  <c r="AO49" i="17"/>
  <c r="AP49" i="17" s="1"/>
  <c r="AO51" i="17"/>
  <c r="AP51" i="17" s="1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/>
  <c r="AO69" i="17"/>
  <c r="AP69" i="17" s="1"/>
  <c r="AO70" i="17"/>
  <c r="AP70" i="17" s="1"/>
  <c r="AO71" i="17"/>
  <c r="AP71" i="17" s="1"/>
  <c r="AO72" i="17"/>
  <c r="AP72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61" i="18"/>
  <c r="ESN61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1" i="17"/>
  <c r="AH51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61" i="18"/>
  <c r="ESF61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61" i="18"/>
  <c r="ERX61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61" i="18"/>
  <c r="ERP61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61" i="18"/>
  <c r="ERH61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61" i="18"/>
  <c r="EQZ61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61" i="18"/>
  <c r="EQR61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61" i="18"/>
  <c r="EQJ61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61" i="18"/>
  <c r="EQB61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61" i="18"/>
  <c r="EPT61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61" i="18"/>
  <c r="EPL61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61" i="18"/>
  <c r="EPD61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61" i="18"/>
  <c r="EOV61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61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61" i="18"/>
  <c r="EOF61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61" i="18"/>
  <c r="ENX61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61" i="18"/>
  <c r="ENP61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61" i="18"/>
  <c r="ENH61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61" i="18"/>
  <c r="EMZ61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61" i="18"/>
  <c r="EMR61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61" i="18"/>
  <c r="EMJ61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61" i="18"/>
  <c r="EMB61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61" i="18"/>
  <c r="ELT61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61" i="18"/>
  <c r="ELL61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3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61" i="18"/>
  <c r="ELD61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61" i="18"/>
  <c r="EKU61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61" i="18"/>
  <c r="EKM61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61" i="18"/>
  <c r="EKE61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61" i="18"/>
  <c r="EJW61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61" i="18"/>
  <c r="EJO61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61" i="18"/>
  <c r="EJG61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61" i="18"/>
  <c r="EIY61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61" i="18"/>
  <c r="EIQ61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61" i="18"/>
  <c r="EII61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61" i="18"/>
  <c r="EIA61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61" i="18"/>
  <c r="EHS61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61" i="18"/>
  <c r="EHK61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7" i="17"/>
  <c r="U71" i="17"/>
  <c r="Q52" i="17" l="1"/>
  <c r="EHB61" i="18" l="1"/>
  <c r="EHC61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61" i="18"/>
  <c r="EGU61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61" i="18"/>
  <c r="EGM61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61" i="18"/>
  <c r="EGE61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61" i="18"/>
  <c r="EFW61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61" i="18"/>
  <c r="EFO61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61" i="18"/>
  <c r="EFG61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61" i="18"/>
  <c r="EEY61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61" i="18"/>
  <c r="EEQ61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61" i="18"/>
  <c r="EEI61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61" i="18"/>
  <c r="EEA61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61" i="18"/>
  <c r="EDS61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61" i="18"/>
  <c r="EDK61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61" i="18"/>
  <c r="EDC61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61" i="18"/>
  <c r="ECU61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61" i="18"/>
  <c r="ECM61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61" i="18"/>
  <c r="ECE61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61" i="18"/>
  <c r="EBW61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61" i="18"/>
  <c r="EBO61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61" i="18"/>
  <c r="EBG61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61" i="18"/>
  <c r="EAY61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61" i="18"/>
  <c r="EAQ61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61" i="18"/>
  <c r="EAI61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61" i="18"/>
  <c r="EAA61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61" i="18"/>
  <c r="DZS61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61" i="18"/>
  <c r="DZK61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61" i="18"/>
  <c r="DZC61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61" i="18"/>
  <c r="DYU61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61" i="18"/>
  <c r="DYM61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61" i="18"/>
  <c r="DYE61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2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61" i="18"/>
  <c r="DXW61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2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61" i="18"/>
  <c r="DXO61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61" i="18"/>
  <c r="DXG61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61" i="18"/>
  <c r="DWY61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61" i="18"/>
  <c r="DWQ61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61" i="18"/>
  <c r="DWI61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61" i="18"/>
  <c r="DWA61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61" i="18"/>
  <c r="DVS61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61" i="18"/>
  <c r="DVK61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61" i="18"/>
  <c r="DVC61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61" i="18"/>
  <c r="DUU61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61" i="18"/>
  <c r="DUM61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61" i="18"/>
  <c r="DUE61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61" i="18"/>
  <c r="DTW61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61" i="18"/>
  <c r="DTO61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61" i="18"/>
  <c r="DTG61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61" i="18"/>
  <c r="DSY61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61" i="18"/>
  <c r="DSQ61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61" i="18"/>
  <c r="DSI61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61" i="18"/>
  <c r="DSA61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61" i="18"/>
  <c r="DRS61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61" i="18"/>
  <c r="DRK61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61" i="18"/>
  <c r="DRC61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61" i="18"/>
  <c r="DQU61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61" i="18"/>
  <c r="DQM61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61" i="18"/>
  <c r="DQE61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61" i="18"/>
  <c r="DPW61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61" i="18"/>
  <c r="DPO61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61" i="18"/>
  <c r="DPG61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61" i="18"/>
  <c r="DOY61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61" i="18"/>
  <c r="DOQ61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61" i="18"/>
  <c r="DOI61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61" i="18"/>
  <c r="DOA61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61" i="18"/>
  <c r="DNS61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61" i="18"/>
  <c r="DNK61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61" i="18"/>
  <c r="DNC61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61" i="18"/>
  <c r="DMU61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61" i="18"/>
  <c r="DMM61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61" i="18"/>
  <c r="DME61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61" i="18"/>
  <c r="DLW61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61" i="18"/>
  <c r="DLO61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61" i="18"/>
  <c r="DLG61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61" i="18"/>
  <c r="DKY61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61" i="18"/>
  <c r="DKQ61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61" i="18"/>
  <c r="DKI61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61" i="18"/>
  <c r="DKA61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61" i="18"/>
  <c r="DJS61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61" i="18"/>
  <c r="DJK61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61" i="18"/>
  <c r="DJC61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61" i="18"/>
  <c r="DIU61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61" i="18"/>
  <c r="DIM61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61" i="18"/>
  <c r="DIE61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61" i="18"/>
  <c r="DHW61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61" i="18"/>
  <c r="DHO61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61" i="18"/>
  <c r="DHG61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61" i="18"/>
  <c r="DGY61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61" i="18"/>
  <c r="DGQ61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61" i="18"/>
  <c r="DGI61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61" i="18"/>
  <c r="DGA61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61" i="18"/>
  <c r="DFS61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61" i="18"/>
  <c r="DFK61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61" i="18"/>
  <c r="DFC61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61" i="18"/>
  <c r="DEU61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61" i="18"/>
  <c r="DEM61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61" i="18"/>
  <c r="DEE61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61" i="18"/>
  <c r="DDW61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61" i="18"/>
  <c r="DDO61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61" i="18"/>
  <c r="DDG61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61" i="18"/>
  <c r="DCY61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3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61" i="18"/>
  <c r="DCQ61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3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61" i="18"/>
  <c r="DCI61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61" i="18"/>
  <c r="DCA61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61" i="18"/>
  <c r="DBS61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61" i="18"/>
  <c r="DBK61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61" i="18"/>
  <c r="DBC61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61" i="18"/>
  <c r="DAU61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61" i="18"/>
  <c r="DAM61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61" i="18"/>
  <c r="DAE61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61" i="18"/>
  <c r="CZW61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61" i="18"/>
  <c r="CZO61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61" i="18"/>
  <c r="CZG61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61" i="18"/>
  <c r="CYY61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61" i="18"/>
  <c r="CYQ61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61" i="18"/>
  <c r="CYI61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61" i="18"/>
  <c r="CYA61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61" i="18"/>
  <c r="CXS61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61" i="18"/>
  <c r="CXK61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61" i="18"/>
  <c r="CXC61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61" i="18"/>
  <c r="CWU61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61" i="18"/>
  <c r="CWM61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61" i="18"/>
  <c r="CWE61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4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61" i="18"/>
  <c r="CVW61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61" i="18"/>
  <c r="CVO61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61" i="18"/>
  <c r="CVG61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61" i="18"/>
  <c r="CUY61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61" i="18"/>
  <c r="CUQ61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61" i="18"/>
  <c r="CUI61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61" i="18"/>
  <c r="CUA61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8" i="17"/>
  <c r="Q49" i="17"/>
  <c r="Q51" i="17"/>
  <c r="Q53" i="17"/>
  <c r="W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8" i="17"/>
  <c r="Q69" i="17"/>
  <c r="Q70" i="17"/>
  <c r="Q72" i="17"/>
  <c r="S72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61" i="18"/>
  <c r="CTS61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61" i="18"/>
  <c r="CTK61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61" i="18"/>
  <c r="CTC61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61" i="18"/>
  <c r="CSU61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4" i="18" l="1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61" i="18"/>
  <c r="CSE61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61" i="18"/>
  <c r="CRW61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61" i="18"/>
  <c r="CRO61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61" i="18"/>
  <c r="CRG61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61" i="18"/>
  <c r="CQY61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61" i="18"/>
  <c r="CQQ61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61" i="18"/>
  <c r="CQI61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61" i="18"/>
  <c r="CQA61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61" i="18"/>
  <c r="CPS61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61" i="18"/>
  <c r="CPK61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61" i="18"/>
  <c r="CPC61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61" i="18"/>
  <c r="COU61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61" i="18"/>
  <c r="COM61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14" i="17" l="1"/>
  <c r="J15" i="17"/>
  <c r="J16" i="17"/>
  <c r="J37" i="17"/>
  <c r="J42" i="18"/>
  <c r="J62" i="17"/>
  <c r="J50" i="17"/>
  <c r="J21" i="15"/>
  <c r="J9" i="18"/>
  <c r="J17" i="17"/>
  <c r="J38" i="17"/>
  <c r="L38" i="17" s="1"/>
  <c r="M38" i="17" s="1"/>
  <c r="J43" i="18"/>
  <c r="J63" i="17"/>
  <c r="J51" i="17"/>
  <c r="J22" i="15"/>
  <c r="J18" i="17"/>
  <c r="J8" i="19"/>
  <c r="L8" i="19" s="1"/>
  <c r="M8" i="19" s="1"/>
  <c r="J44" i="18"/>
  <c r="J64" i="17"/>
  <c r="J52" i="17"/>
  <c r="L52" i="17" s="1"/>
  <c r="M52" i="17" s="1"/>
  <c r="J23" i="15"/>
  <c r="J20" i="17"/>
  <c r="J12" i="19"/>
  <c r="J66" i="17"/>
  <c r="J61" i="17"/>
  <c r="J19" i="17"/>
  <c r="J11" i="19"/>
  <c r="J8" i="18"/>
  <c r="J65" i="17"/>
  <c r="J53" i="17"/>
  <c r="G32" i="23"/>
  <c r="H32" i="23" s="1"/>
  <c r="J54" i="17"/>
  <c r="J21" i="17"/>
  <c r="J13" i="19"/>
  <c r="J10" i="18"/>
  <c r="J67" i="17"/>
  <c r="J55" i="17"/>
  <c r="J15" i="19"/>
  <c r="J69" i="17"/>
  <c r="J16" i="19"/>
  <c r="J13" i="18"/>
  <c r="J9" i="15"/>
  <c r="J31" i="18"/>
  <c r="J14" i="18"/>
  <c r="J10" i="15"/>
  <c r="J59" i="17"/>
  <c r="J18" i="15"/>
  <c r="J35" i="17"/>
  <c r="J36" i="17"/>
  <c r="J22" i="17"/>
  <c r="L22" i="17" s="1"/>
  <c r="J14" i="19"/>
  <c r="J11" i="18"/>
  <c r="J68" i="17"/>
  <c r="J56" i="17"/>
  <c r="J12" i="18"/>
  <c r="J8" i="15"/>
  <c r="J70" i="17"/>
  <c r="J25" i="17"/>
  <c r="J39" i="17"/>
  <c r="L39" i="17" s="1"/>
  <c r="M39" i="17" s="1"/>
  <c r="J39" i="18"/>
  <c r="J60" i="17"/>
  <c r="J49" i="17"/>
  <c r="J23" i="17"/>
  <c r="J24" i="17"/>
  <c r="J26" i="17"/>
  <c r="J32" i="18"/>
  <c r="J15" i="18"/>
  <c r="J40" i="17"/>
  <c r="L40" i="17" s="1"/>
  <c r="M40" i="17" s="1"/>
  <c r="J11" i="15"/>
  <c r="J33" i="18"/>
  <c r="J16" i="18"/>
  <c r="J41" i="17"/>
  <c r="L41" i="17" s="1"/>
  <c r="M41" i="17" s="1"/>
  <c r="J12" i="15"/>
  <c r="J15" i="15"/>
  <c r="J27" i="17"/>
  <c r="J28" i="17"/>
  <c r="J34" i="18"/>
  <c r="J17" i="18"/>
  <c r="J42" i="17"/>
  <c r="L42" i="17" s="1"/>
  <c r="M42" i="17" s="1"/>
  <c r="J13" i="15"/>
  <c r="J29" i="17"/>
  <c r="J35" i="18"/>
  <c r="J18" i="18"/>
  <c r="J43" i="17"/>
  <c r="J14" i="15"/>
  <c r="J45" i="17"/>
  <c r="J19" i="15"/>
  <c r="J30" i="17"/>
  <c r="J36" i="18"/>
  <c r="J19" i="18"/>
  <c r="J44" i="17"/>
  <c r="L44" i="17" s="1"/>
  <c r="M44" i="17" s="1"/>
  <c r="J31" i="17"/>
  <c r="J37" i="18"/>
  <c r="J57" i="17"/>
  <c r="J16" i="15"/>
  <c r="J47" i="17"/>
  <c r="J48" i="17"/>
  <c r="L48" i="17" s="1"/>
  <c r="M48" i="17" s="1"/>
  <c r="J41" i="18"/>
  <c r="J10" i="19"/>
  <c r="J9" i="19"/>
  <c r="L9" i="19" s="1"/>
  <c r="M9" i="19" s="1"/>
  <c r="J32" i="17"/>
  <c r="J38" i="18"/>
  <c r="J58" i="17"/>
  <c r="J46" i="17"/>
  <c r="J17" i="15"/>
  <c r="J34" i="17"/>
  <c r="J40" i="18"/>
  <c r="J20" i="15"/>
  <c r="J13" i="17"/>
  <c r="L13" i="17" s="1"/>
  <c r="G30" i="23"/>
  <c r="H30" i="23" s="1"/>
  <c r="G31" i="23"/>
  <c r="H31" i="23" s="1"/>
  <c r="J50" i="18"/>
  <c r="L21" i="17"/>
  <c r="L23" i="17"/>
  <c r="L24" i="17"/>
  <c r="L43" i="17"/>
  <c r="M43" i="17" s="1"/>
  <c r="L45" i="17"/>
  <c r="M45" i="17" s="1"/>
  <c r="O45" i="17" s="1"/>
  <c r="J48" i="18"/>
  <c r="J49" i="18"/>
  <c r="J46" i="18"/>
  <c r="J52" i="18"/>
  <c r="J54" i="18"/>
  <c r="J58" i="18"/>
  <c r="L58" i="18" s="1"/>
  <c r="M58" i="18" s="1"/>
  <c r="J53" i="18"/>
  <c r="L19" i="17"/>
  <c r="L17" i="17"/>
  <c r="L20" i="17"/>
  <c r="L15" i="17"/>
  <c r="L53" i="17"/>
  <c r="M53" i="17" s="1"/>
  <c r="J51" i="18"/>
  <c r="L47" i="17"/>
  <c r="M47" i="17" s="1"/>
  <c r="L51" i="17"/>
  <c r="M51" i="17" s="1"/>
  <c r="L14" i="17"/>
  <c r="J45" i="18"/>
  <c r="L49" i="17"/>
  <c r="M49" i="17" s="1"/>
  <c r="J72" i="17"/>
  <c r="L18" i="17"/>
  <c r="J55" i="18"/>
  <c r="L55" i="18" s="1"/>
  <c r="M55" i="18" s="1"/>
  <c r="L50" i="17"/>
  <c r="M50" i="17" s="1"/>
  <c r="J71" i="17"/>
  <c r="L16" i="17"/>
  <c r="J57" i="18"/>
  <c r="L57" i="18" s="1"/>
  <c r="M57" i="18" s="1"/>
  <c r="L46" i="17"/>
  <c r="M46" i="17" s="1"/>
  <c r="J56" i="18"/>
  <c r="L56" i="18" s="1"/>
  <c r="M56" i="18" s="1"/>
  <c r="G18" i="23"/>
  <c r="H18" i="23" s="1"/>
  <c r="G3" i="23"/>
  <c r="H3" i="23" s="1"/>
  <c r="G17" i="23"/>
  <c r="H17" i="23" s="1"/>
  <c r="G4" i="23"/>
  <c r="H4" i="23" s="1"/>
  <c r="G19" i="23"/>
  <c r="H19" i="23" s="1"/>
  <c r="G14" i="23"/>
  <c r="H14" i="23" s="1"/>
  <c r="G5" i="23"/>
  <c r="H5" i="23" s="1"/>
  <c r="G20" i="23"/>
  <c r="H20" i="23" s="1"/>
  <c r="G12" i="23"/>
  <c r="H12" i="23" s="1"/>
  <c r="G16" i="23"/>
  <c r="H16" i="23" s="1"/>
  <c r="G6" i="23"/>
  <c r="H6" i="23" s="1"/>
  <c r="G21" i="23"/>
  <c r="H21" i="23" s="1"/>
  <c r="G7" i="23"/>
  <c r="H7" i="23" s="1"/>
  <c r="G22" i="23"/>
  <c r="H22" i="23" s="1"/>
  <c r="G27" i="23"/>
  <c r="H27" i="23" s="1"/>
  <c r="G8" i="23"/>
  <c r="H8" i="23" s="1"/>
  <c r="G23" i="23"/>
  <c r="H23" i="23" s="1"/>
  <c r="G25" i="23"/>
  <c r="H25" i="23" s="1"/>
  <c r="G13" i="23"/>
  <c r="H13" i="23" s="1"/>
  <c r="G24" i="23"/>
  <c r="H24" i="23" s="1"/>
  <c r="G9" i="23"/>
  <c r="H9" i="23" s="1"/>
  <c r="G10" i="23"/>
  <c r="H10" i="23" s="1"/>
  <c r="G26" i="23"/>
  <c r="H26" i="23" s="1"/>
  <c r="G11" i="23"/>
  <c r="H11" i="23" s="1"/>
  <c r="G15" i="23"/>
  <c r="H15" i="23" s="1"/>
  <c r="L18" i="15"/>
  <c r="M18" i="15" s="1"/>
  <c r="G29" i="23"/>
  <c r="H29" i="23" s="1"/>
  <c r="G28" i="23"/>
  <c r="H28" i="23" s="1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20" i="18"/>
  <c r="J60" i="18"/>
  <c r="L60" i="18" s="1"/>
  <c r="M60" i="18" s="1"/>
  <c r="J61" i="18"/>
  <c r="L61" i="18" s="1"/>
  <c r="M61" i="18" s="1"/>
  <c r="J21" i="18"/>
  <c r="J7" i="19"/>
  <c r="EVK61" i="18"/>
  <c r="EVO61" i="18" s="1"/>
  <c r="EVP61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U47" i="17" l="1"/>
  <c r="W47" i="17"/>
  <c r="W50" i="17"/>
  <c r="U50" i="17"/>
  <c r="O41" i="17"/>
  <c r="W41" i="17"/>
  <c r="U41" i="17"/>
  <c r="R41" i="17"/>
  <c r="O44" i="17"/>
  <c r="W44" i="17"/>
  <c r="R44" i="17"/>
  <c r="R73" i="17" s="1"/>
  <c r="U44" i="17"/>
  <c r="U42" i="17"/>
  <c r="R42" i="17"/>
  <c r="O42" i="17"/>
  <c r="W42" i="17"/>
  <c r="U39" i="17"/>
  <c r="W39" i="17"/>
  <c r="W43" i="17"/>
  <c r="U43" i="17"/>
  <c r="R43" i="17"/>
  <c r="O43" i="17"/>
  <c r="J63" i="18"/>
  <c r="H9" i="20" s="1"/>
  <c r="H16" i="20" s="1"/>
  <c r="V18" i="15"/>
  <c r="T18" i="15"/>
  <c r="J17" i="19"/>
  <c r="L46" i="18"/>
  <c r="L31" i="18"/>
  <c r="L51" i="18"/>
  <c r="M51" i="18" s="1"/>
  <c r="L71" i="17"/>
  <c r="M71" i="17" s="1"/>
  <c r="L39" i="18"/>
  <c r="L70" i="17"/>
  <c r="M70" i="17" s="1"/>
  <c r="L32" i="18"/>
  <c r="M32" i="18" s="1"/>
  <c r="L52" i="18"/>
  <c r="M52" i="18" s="1"/>
  <c r="L60" i="17"/>
  <c r="L61" i="17"/>
  <c r="M61" i="17" s="1"/>
  <c r="L33" i="18"/>
  <c r="M33" i="18" s="1"/>
  <c r="L53" i="18"/>
  <c r="M53" i="18" s="1"/>
  <c r="L54" i="17"/>
  <c r="M54" i="17" s="1"/>
  <c r="L55" i="17"/>
  <c r="M55" i="17" s="1"/>
  <c r="L34" i="18"/>
  <c r="L54" i="18"/>
  <c r="M54" i="18" s="1"/>
  <c r="L58" i="17"/>
  <c r="M58" i="17" s="1"/>
  <c r="L40" i="18"/>
  <c r="M40" i="18" s="1"/>
  <c r="L41" i="18"/>
  <c r="L35" i="18"/>
  <c r="L36" i="18"/>
  <c r="L56" i="17"/>
  <c r="M56" i="17" s="1"/>
  <c r="L57" i="17"/>
  <c r="M57" i="17" s="1"/>
  <c r="L38" i="18"/>
  <c r="L59" i="17"/>
  <c r="M59" i="17" s="1"/>
  <c r="L37" i="18"/>
  <c r="L42" i="18"/>
  <c r="L62" i="17"/>
  <c r="M62" i="17" s="1"/>
  <c r="L43" i="18"/>
  <c r="L63" i="17"/>
  <c r="M63" i="17" s="1"/>
  <c r="L44" i="18"/>
  <c r="L64" i="17"/>
  <c r="M64" i="17" s="1"/>
  <c r="L45" i="18"/>
  <c r="L65" i="17"/>
  <c r="M65" i="17" s="1"/>
  <c r="L66" i="17"/>
  <c r="L67" i="17"/>
  <c r="M67" i="17" s="1"/>
  <c r="L49" i="18"/>
  <c r="M49" i="18" s="1"/>
  <c r="L69" i="17"/>
  <c r="L50" i="18"/>
  <c r="M50" i="18" s="1"/>
  <c r="L48" i="18"/>
  <c r="L17" i="18"/>
  <c r="L10" i="15"/>
  <c r="L21" i="15"/>
  <c r="L11" i="18"/>
  <c r="M11" i="18" s="1"/>
  <c r="L13" i="18"/>
  <c r="M13" i="18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L23" i="15"/>
  <c r="L9" i="15"/>
  <c r="L8" i="18"/>
  <c r="M8" i="18" s="1"/>
  <c r="L12" i="18"/>
  <c r="M12" i="18" s="1"/>
  <c r="L8" i="15"/>
  <c r="L20" i="15"/>
  <c r="L9" i="18"/>
  <c r="M9" i="18" s="1"/>
  <c r="L22" i="15"/>
  <c r="L16" i="18"/>
  <c r="L15" i="18"/>
  <c r="L15" i="19"/>
  <c r="M15" i="19" s="1"/>
  <c r="L10" i="19"/>
  <c r="M10" i="19" s="1"/>
  <c r="L11" i="19"/>
  <c r="L12" i="19"/>
  <c r="M12" i="19" s="1"/>
  <c r="L13" i="19"/>
  <c r="M13" i="19" s="1"/>
  <c r="L14" i="19"/>
  <c r="L47" i="18"/>
  <c r="M47" i="18" s="1"/>
  <c r="J30" i="18"/>
  <c r="J62" i="18" s="1"/>
  <c r="L16" i="19"/>
  <c r="M16" i="19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61" i="18"/>
  <c r="CSL61" i="18" s="1"/>
  <c r="CSM61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3" i="17" l="1"/>
  <c r="U73" i="17"/>
  <c r="L63" i="18"/>
  <c r="J9" i="20" s="1"/>
  <c r="J16" i="20" s="1"/>
  <c r="O61" i="17"/>
  <c r="M31" i="18"/>
  <c r="O71" i="17"/>
  <c r="M66" i="17"/>
  <c r="H8" i="20"/>
  <c r="M7" i="19"/>
  <c r="L17" i="19"/>
  <c r="J11" i="20" s="1"/>
  <c r="V40" i="18"/>
  <c r="V50" i="18"/>
  <c r="O70" i="17"/>
  <c r="O58" i="17"/>
  <c r="O63" i="17"/>
  <c r="O55" i="17"/>
  <c r="O53" i="17"/>
  <c r="O54" i="17"/>
  <c r="O52" i="17"/>
  <c r="O51" i="17"/>
  <c r="O67" i="17"/>
  <c r="O59" i="17"/>
  <c r="O49" i="17"/>
  <c r="O62" i="17"/>
  <c r="O57" i="17"/>
  <c r="O56" i="17"/>
  <c r="O65" i="17"/>
  <c r="O64" i="17"/>
  <c r="M20" i="15"/>
  <c r="W58" i="17"/>
  <c r="W63" i="17"/>
  <c r="W62" i="17"/>
  <c r="W55" i="17"/>
  <c r="W54" i="17"/>
  <c r="W51" i="17"/>
  <c r="W67" i="17"/>
  <c r="W59" i="17"/>
  <c r="W49" i="17"/>
  <c r="W70" i="17"/>
  <c r="W57" i="17"/>
  <c r="W61" i="17"/>
  <c r="W56" i="17"/>
  <c r="W65" i="17"/>
  <c r="W64" i="17"/>
  <c r="O11" i="18"/>
  <c r="O33" i="18"/>
  <c r="O32" i="18"/>
  <c r="M60" i="17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U67" i="17"/>
  <c r="L68" i="17"/>
  <c r="M68" i="17" s="1"/>
  <c r="M69" i="17"/>
  <c r="L72" i="17"/>
  <c r="V16" i="19"/>
  <c r="V15" i="19"/>
  <c r="J24" i="15"/>
  <c r="H12" i="20" s="1"/>
  <c r="H17" i="20" s="1"/>
  <c r="J22" i="18"/>
  <c r="H7" i="20" s="1"/>
  <c r="R53" i="17"/>
  <c r="L30" i="18"/>
  <c r="L62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M46" i="18"/>
  <c r="T40" i="18"/>
  <c r="U53" i="17"/>
  <c r="R57" i="17"/>
  <c r="U57" i="17"/>
  <c r="R61" i="17"/>
  <c r="U61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3" i="18" l="1"/>
  <c r="K9" i="20" s="1"/>
  <c r="K16" i="20" s="1"/>
  <c r="O14" i="15"/>
  <c r="Q14" i="15"/>
  <c r="O20" i="15"/>
  <c r="Q20" i="15"/>
  <c r="W60" i="17"/>
  <c r="O31" i="18"/>
  <c r="V31" i="18"/>
  <c r="T31" i="18"/>
  <c r="O66" i="17"/>
  <c r="W66" i="17"/>
  <c r="O7" i="19"/>
  <c r="J8" i="20"/>
  <c r="O68" i="17"/>
  <c r="V48" i="18"/>
  <c r="O60" i="17"/>
  <c r="T20" i="15"/>
  <c r="V20" i="15"/>
  <c r="O69" i="17"/>
  <c r="W68" i="17"/>
  <c r="W69" i="17"/>
  <c r="L24" i="15"/>
  <c r="J12" i="20" s="1"/>
  <c r="J17" i="20" s="1"/>
  <c r="O46" i="18"/>
  <c r="O48" i="18"/>
  <c r="T14" i="15"/>
  <c r="V14" i="15"/>
  <c r="Q46" i="18"/>
  <c r="T48" i="18"/>
  <c r="M30" i="18"/>
  <c r="Q51" i="18"/>
  <c r="M72" i="17"/>
  <c r="T51" i="18"/>
  <c r="R49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2" i="17" l="1"/>
  <c r="W72" i="17"/>
  <c r="U72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4" i="17" s="1"/>
  <c r="S74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M37" i="18"/>
  <c r="M43" i="18"/>
  <c r="M36" i="18"/>
  <c r="M38" i="18"/>
  <c r="M35" i="18"/>
  <c r="Q9" i="18"/>
  <c r="T9" i="18"/>
  <c r="R55" i="17"/>
  <c r="R56" i="17"/>
  <c r="R58" i="17"/>
  <c r="U55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O16" i="18" l="1"/>
  <c r="O17" i="18"/>
  <c r="O15" i="18"/>
  <c r="O20" i="18"/>
  <c r="O19" i="18"/>
  <c r="O18" i="18"/>
  <c r="M14" i="18"/>
  <c r="V15" i="18"/>
  <c r="M7" i="18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59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8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O7" i="15" l="1"/>
  <c r="T7" i="15"/>
  <c r="R69" i="17" l="1"/>
  <c r="R72" i="17"/>
  <c r="R54" i="17"/>
  <c r="R65" i="17"/>
  <c r="R66" i="17"/>
  <c r="R70" i="17"/>
  <c r="R64" i="17"/>
  <c r="R62" i="17"/>
  <c r="R63" i="17"/>
  <c r="R68" i="17"/>
  <c r="R60" i="17"/>
  <c r="R51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M10" i="15"/>
  <c r="M11" i="15"/>
  <c r="M12" i="15"/>
  <c r="M13" i="15"/>
  <c r="M17" i="15"/>
  <c r="M19" i="15"/>
  <c r="M21" i="15"/>
  <c r="M22" i="15"/>
  <c r="M23" i="15"/>
  <c r="M26" i="19"/>
  <c r="M27" i="19"/>
  <c r="M28" i="19"/>
  <c r="M29" i="19"/>
  <c r="M25" i="19"/>
  <c r="M14" i="19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O7" i="18"/>
  <c r="M9" i="15"/>
  <c r="M15" i="15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R62" i="18" s="1"/>
  <c r="U22" i="18"/>
  <c r="R7" i="18"/>
  <c r="T7" i="18" s="1"/>
  <c r="U69" i="17"/>
  <c r="U70" i="17"/>
  <c r="U54" i="17"/>
  <c r="U62" i="17"/>
  <c r="U63" i="17"/>
  <c r="U64" i="17"/>
  <c r="U65" i="17"/>
  <c r="U66" i="17"/>
  <c r="U68" i="17"/>
  <c r="U49" i="17"/>
  <c r="U51" i="17"/>
  <c r="Q24" i="15" l="1"/>
  <c r="U59" i="17"/>
  <c r="U60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6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2" i="18"/>
  <c r="AXC62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2" i="18"/>
  <c r="AWU62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5" i="17" l="1"/>
  <c r="M34" i="18" l="1"/>
  <c r="M39" i="18"/>
  <c r="M45" i="18"/>
  <c r="M44" i="18"/>
  <c r="M22" i="18"/>
  <c r="K7" i="20" s="1"/>
  <c r="M42" i="18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2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2" i="18" l="1"/>
  <c r="Q62" i="18"/>
  <c r="T62" i="18"/>
  <c r="V62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4" i="17" l="1"/>
  <c r="J85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3" i="17"/>
  <c r="L26" i="17"/>
  <c r="M26" i="17" s="1"/>
  <c r="M18" i="17"/>
  <c r="L37" i="17"/>
  <c r="M37" i="17" s="1"/>
  <c r="M17" i="17"/>
  <c r="M13" i="17"/>
  <c r="L36" i="17"/>
  <c r="M36" i="17" s="1"/>
  <c r="M16" i="17"/>
  <c r="L35" i="17"/>
  <c r="M35" i="17" s="1"/>
  <c r="M15" i="17"/>
  <c r="L34" i="17"/>
  <c r="M34" i="17" s="1"/>
  <c r="M14" i="17"/>
  <c r="L25" i="17"/>
  <c r="M25" i="17" s="1"/>
  <c r="L27" i="17"/>
  <c r="M27" i="17" s="1"/>
  <c r="M24" i="17"/>
  <c r="M21" i="17"/>
  <c r="L33" i="17"/>
  <c r="M33" i="17" s="1"/>
  <c r="M23" i="17"/>
  <c r="M22" i="17"/>
  <c r="M20" i="17"/>
  <c r="M19" i="17"/>
  <c r="L32" i="17"/>
  <c r="M32" i="17" s="1"/>
  <c r="L31" i="17"/>
  <c r="M31" i="17" s="1"/>
  <c r="L30" i="17"/>
  <c r="M30" i="17" s="1"/>
  <c r="L29" i="17"/>
  <c r="M29" i="17" s="1"/>
  <c r="L28" i="17"/>
  <c r="M28" i="17" s="1"/>
  <c r="O29" i="17" l="1"/>
  <c r="W30" i="17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8" i="17"/>
  <c r="L73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8" i="17"/>
  <c r="W33" i="17"/>
  <c r="U36" i="17"/>
  <c r="W15" i="17"/>
  <c r="W18" i="17"/>
  <c r="W21" i="17"/>
  <c r="O13" i="17"/>
  <c r="O18" i="17"/>
  <c r="U48" i="17"/>
  <c r="R15" i="17"/>
  <c r="O48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4" i="17"/>
  <c r="L12" i="17"/>
  <c r="M12" i="17" s="1"/>
  <c r="J5" i="20" l="1"/>
  <c r="H13" i="20"/>
  <c r="H6" i="20"/>
  <c r="H14" i="20" s="1"/>
  <c r="R12" i="17"/>
  <c r="R74" i="17" s="1"/>
  <c r="O12" i="17"/>
  <c r="U12" i="17"/>
  <c r="U74" i="17" s="1"/>
  <c r="W12" i="17"/>
  <c r="W74" i="17" s="1"/>
  <c r="L74" i="17"/>
  <c r="M73" i="17"/>
  <c r="K5" i="20" s="1"/>
  <c r="O73" i="17"/>
  <c r="H18" i="20" l="1"/>
  <c r="J13" i="20"/>
  <c r="J6" i="20"/>
  <c r="J14" i="20" s="1"/>
  <c r="M74" i="17"/>
  <c r="O74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<sst xmlns="http://schemas.openxmlformats.org/spreadsheetml/2006/main" count="6098" uniqueCount="635">
  <si>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</si>
  <si>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</si>
  <si>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</si>
  <si>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</si>
  <si>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</si>
  <si>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</si>
  <si>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</si>
  <si>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</si>
  <si>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</si>
  <si>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</si>
  <si>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</si>
  <si>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</si>
  <si>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</si>
  <si>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</si>
  <si>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</si>
  <si>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</si>
  <si>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</si>
  <si>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</si>
  <si>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</si>
  <si>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</si>
  <si>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</si>
  <si>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</si>
  <si>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</si>
  <si>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</si>
  <si>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</si>
  <si>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</si>
  <si>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</si>
  <si>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</si>
  <si>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</si>
  <si>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</si>
  <si>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</si>
  <si>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</si>
  <si>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</si>
  <si>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</si>
  <si>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</si>
  <si>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</si>
  <si>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</si>
  <si>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</si>
  <si>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</si>
  <si>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</si>
  <si>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</si>
  <si>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</si>
  <si>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</si>
  <si>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</si>
  <si>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</si>
  <si>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</si>
  <si>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</si>
  <si>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</si>
  <si>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</si>
  <si>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</si>
  <si>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</si>
  <si>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</si>
  <si>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</si>
  <si>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</si>
  <si>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</si>
  <si>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</si>
  <si>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</si>
  <si>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</si>
  <si>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</si>
  <si>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</si>
  <si>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</si>
  <si>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</si>
  <si>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</si>
  <si>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</si>
  <si>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</si>
  <si>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</si>
  <si>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</si>
  <si>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</si>
  <si>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</si>
  <si>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</si>
  <si>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</si>
  <si>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</si>
  <si>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</si>
  <si>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</si>
  <si>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</si>
  <si>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</si>
  <si>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</si>
  <si>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</si>
  <si>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</si>
  <si>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</si>
  <si>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</si>
  <si>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</si>
  <si>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</si>
  <si>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</si>
  <si>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</si>
  <si>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</si>
  <si>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</si>
  <si>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</si>
  <si>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</si>
  <si>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</si>
  <si>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</si>
  <si>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</si>
  <si>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</si>
  <si>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</si>
  <si>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</si>
  <si>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</si>
  <si>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</si>
  <si>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</si>
  <si>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</si>
  <si>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</si>
  <si>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</si>
  <si>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</si>
  <si>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</si>
  <si>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</si>
  <si>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</si>
  <si>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</si>
  <si>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</si>
  <si>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</si>
  <si>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</si>
  <si>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</si>
  <si>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</si>
  <si>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</si>
  <si>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</si>
  <si>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</si>
  <si>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</si>
  <si>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</si>
  <si>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</si>
  <si>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</si>
  <si>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</si>
  <si>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</si>
  <si>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</si>
  <si>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</si>
  <si>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</si>
  <si>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</si>
  <si>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</si>
  <si>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</si>
  <si>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</si>
  <si>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</si>
  <si>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</si>
  <si>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</si>
  <si>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</si>
  <si>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</si>
  <si>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</si>
  <si>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</si>
  <si>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</si>
  <si>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</si>
  <si>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</si>
  <si>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</si>
  <si>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</si>
  <si>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</si>
  <si>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</si>
  <si>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</si>
  <si>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</si>
  <si>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</si>
  <si>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</si>
  <si>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</si>
  <si>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</si>
  <si>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</si>
  <si>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</si>
  <si>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</si>
  <si>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</si>
  <si>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</si>
  <si>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</si>
  <si>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</si>
  <si>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</si>
  <si>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</si>
  <si>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</si>
  <si>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</si>
  <si>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</si>
  <si>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</si>
  <si>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</si>
  <si>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</si>
  <si>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</si>
  <si>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</si>
  <si>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</si>
  <si>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</si>
  <si>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</si>
  <si>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</si>
  <si>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</si>
  <si>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</si>
  <si>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</si>
  <si>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</si>
  <si>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</si>
  <si>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</si>
  <si>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</si>
  <si>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</si>
  <si>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</si>
  <si>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</si>
  <si>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</si>
  <si>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</si>
  <si>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</si>
  <si>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</si>
  <si>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</si>
  <si>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</si>
  <si>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</si>
  <si>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</si>
  <si>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</si>
  <si>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</si>
  <si>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</si>
  <si>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</si>
  <si>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</si>
  <si>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</si>
  <si>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</si>
  <si>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</si>
  <si>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</si>
  <si>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</si>
  <si>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</si>
  <si>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</si>
  <si>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</si>
  <si>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</si>
  <si>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</si>
  <si>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</si>
  <si>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</si>
  <si>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</si>
  <si>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</si>
  <si>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</si>
  <si>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</si>
  <si>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</si>
  <si>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</si>
  <si>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</si>
  <si>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</si>
  <si>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</si>
  <si>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</si>
  <si>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</si>
  <si>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</si>
  <si>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</si>
  <si>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</si>
  <si>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</si>
  <si>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</si>
  <si>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</si>
  <si>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</si>
  <si>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</si>
  <si>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</si>
  <si>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</si>
  <si>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</si>
  <si>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</si>
  <si>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</si>
  <si>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</si>
  <si>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</si>
  <si>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</si>
  <si>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</si>
  <si>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</si>
  <si>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</si>
  <si>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</si>
  <si>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</si>
  <si>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</si>
  <si>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</si>
  <si>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</si>
  <si>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</si>
  <si>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</si>
  <si>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</si>
  <si>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</si>
  <si>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</si>
  <si>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</si>
  <si>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</si>
  <si>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</si>
  <si>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</si>
  <si>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</si>
  <si>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</si>
  <si>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</si>
  <si>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</si>
  <si>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</si>
  <si>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</si>
  <si>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</si>
  <si>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</si>
  <si>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</si>
  <si>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</si>
  <si>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</si>
  <si>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</si>
  <si>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</si>
  <si>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</si>
  <si>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</si>
  <si>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</si>
  <si>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</si>
  <si>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</si>
  <si>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</si>
  <si>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</si>
  <si>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</si>
  <si>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</si>
  <si>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</si>
  <si>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</si>
  <si>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</si>
  <si>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</si>
  <si>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</si>
  <si>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</si>
  <si>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</si>
  <si>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</si>
  <si>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</si>
  <si>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</si>
  <si>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</si>
  <si>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</si>
  <si>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</si>
  <si>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</si>
  <si>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</si>
  <si>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</si>
  <si>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</si>
  <si>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</si>
  <si>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</si>
  <si>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</si>
  <si>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</si>
  <si>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</si>
  <si>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</si>
  <si>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</si>
  <si>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</si>
  <si>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</si>
  <si>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</si>
  <si>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</si>
  <si>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</si>
  <si>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</si>
  <si>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</si>
  <si>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</si>
  <si>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</si>
  <si>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</si>
  <si>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</si>
  <si>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</si>
  <si>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</si>
  <si>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</si>
  <si>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</si>
  <si>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</si>
  <si>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</si>
  <si>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</si>
  <si>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</si>
  <si>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</si>
  <si>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</si>
  <si>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</si>
  <si>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</si>
  <si>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</si>
  <si>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</si>
  <si>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</si>
  <si>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</si>
  <si>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</si>
  <si>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</si>
  <si>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</si>
  <si>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</si>
  <si>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</si>
  <si>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</si>
  <si>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</si>
  <si>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</si>
  <si>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</si>
  <si>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</si>
  <si>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</si>
  <si>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</si>
  <si>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</si>
  <si>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</si>
  <si>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</si>
  <si>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</si>
  <si>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</si>
  <si>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</si>
  <si>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</si>
  <si>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</si>
  <si>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</si>
  <si>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</si>
  <si>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</si>
  <si>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</si>
  <si>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</si>
  <si>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</si>
  <si>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</si>
  <si>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</si>
  <si>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</si>
  <si>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</si>
  <si>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</si>
  <si>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</si>
  <si>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</si>
  <si>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</si>
  <si>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</si>
  <si>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</si>
  <si>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</si>
  <si>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</si>
  <si>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</si>
  <si>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</si>
  <si>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</si>
  <si>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</si>
  <si>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</si>
  <si>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</si>
  <si>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</si>
  <si>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</si>
  <si>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</si>
  <si>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</si>
  <si>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</si>
  <si>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</si>
  <si>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</si>
  <si>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</si>
  <si>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</si>
  <si>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</si>
  <si>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</si>
  <si>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</si>
  <si>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</si>
  <si>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</si>
  <si>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</si>
  <si>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</si>
  <si>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</si>
  <si>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</si>
  <si>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</si>
  <si>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</si>
  <si>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</si>
  <si>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</si>
  <si>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</si>
  <si>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</si>
  <si>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</si>
  <si>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</si>
  <si>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</si>
  <si>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</si>
  <si>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</si>
  <si>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</si>
  <si>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</si>
  <si>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</si>
  <si>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</si>
  <si>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</si>
  <si>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</si>
  <si>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</si>
  <si>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</si>
  <si>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</si>
  <si>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</si>
  <si>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</si>
  <si>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</si>
  <si>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</si>
  <si>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</si>
  <si>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</si>
  <si>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</si>
  <si>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</si>
  <si>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</si>
  <si>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</si>
  <si>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</si>
  <si>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</si>
  <si>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</si>
  <si>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</si>
  <si>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</si>
  <si>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</si>
  <si>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</si>
  <si>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</si>
  <si>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</si>
  <si>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</si>
  <si>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</si>
  <si>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</si>
  <si>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</si>
  <si>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</si>
  <si>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</si>
  <si>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</si>
  <si>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</si>
  <si>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</si>
  <si>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</si>
  <si>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</si>
  <si>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</si>
  <si>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</si>
  <si>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</si>
  <si>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</si>
  <si>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</si>
  <si>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</si>
  <si>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</si>
  <si>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</si>
  <si>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</si>
  <si>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</si>
  <si>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</si>
  <si>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</si>
  <si>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</si>
  <si>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</si>
  <si>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</si>
  <si>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</si>
  <si>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</si>
  <si>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</si>
  <si>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</si>
  <si>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</si>
  <si>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</si>
  <si>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</si>
  <si>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</si>
  <si>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</si>
  <si>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</si>
  <si>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</si>
  <si>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</si>
  <si>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</si>
  <si>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</si>
  <si>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</si>
  <si>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</si>
  <si>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</si>
  <si>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</si>
  <si>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</si>
  <si>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</si>
  <si>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</si>
  <si>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</si>
  <si>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</si>
  <si>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</si>
  <si>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</si>
  <si>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</si>
  <si>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</si>
  <si>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</si>
  <si>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</si>
  <si>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</si>
  <si>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</si>
  <si>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</si>
  <si>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</si>
  <si>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</si>
  <si>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</si>
  <si>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</si>
  <si>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</si>
  <si>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</si>
  <si>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</si>
  <si>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</si>
  <si>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</si>
  <si>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</si>
  <si>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</si>
  <si>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</si>
  <si>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</si>
  <si>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</si>
  <si>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</si>
  <si>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</si>
  <si>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</si>
  <si>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</si>
  <si>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</si>
  <si>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</si>
  <si>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</si>
  <si>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</si>
  <si>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</si>
  <si>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</si>
  <si>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</si>
  <si>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</si>
  <si>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</si>
  <si>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</si>
  <si>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</si>
  <si>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</si>
  <si>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</si>
  <si>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</si>
  <si>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</si>
  <si>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</si>
  <si>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</si>
  <si>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</si>
  <si>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</si>
  <si>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</si>
  <si>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</si>
  <si>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</si>
  <si>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</si>
  <si>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</si>
  <si>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</si>
  <si>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</si>
  <si>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</si>
  <si>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</si>
  <si>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</si>
  <si>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</si>
  <si>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</si>
  <si>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</si>
  <si>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</si>
  <si>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</si>
  <si>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</si>
  <si>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</si>
  <si>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</si>
  <si>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</si>
  <si>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Ngày : 29/04/2026</t>
  </si>
  <si>
    <t>GT12S25</t>
  </si>
  <si>
    <t>550Pro25</t>
  </si>
  <si>
    <t>551Pro25</t>
  </si>
  <si>
    <t>552Pro25</t>
  </si>
  <si>
    <t>552SPro25</t>
  </si>
  <si>
    <t>S31</t>
  </si>
  <si>
    <t>BagO40-BS06TA-62x100-119-C-000-C</t>
  </si>
  <si>
    <t>BagO40-BS10TA-62x100-119-C-000-C</t>
  </si>
  <si>
    <t>1290M5BS060840</t>
  </si>
  <si>
    <t>1290M5BS100840</t>
  </si>
  <si>
    <t>BS06TA40</t>
  </si>
  <si>
    <t>951GP25</t>
  </si>
  <si>
    <t>552SFS9050</t>
  </si>
  <si>
    <t>552FS1350</t>
  </si>
  <si>
    <t>552FS9050</t>
  </si>
  <si>
    <t>562PFS9050</t>
  </si>
  <si>
    <t>566FS3150</t>
  </si>
  <si>
    <t>567SFS3150</t>
  </si>
  <si>
    <t>567SFS2550</t>
  </si>
  <si>
    <t>511NFP3550</t>
  </si>
  <si>
    <t>521SPRO25</t>
  </si>
  <si>
    <t>GĐ1425</t>
  </si>
  <si>
    <t>54440</t>
  </si>
  <si>
    <t>Thøc ¨n ch¨n nu«i# 552 (F)_50KG (Thuèc)</t>
  </si>
  <si>
    <t>S90</t>
  </si>
  <si>
    <t>551F</t>
  </si>
  <si>
    <t>Thøc ¨n ch¨n nu«i# 551 (F)_50KG (Thuèc)</t>
  </si>
  <si>
    <t>S54</t>
  </si>
  <si>
    <t>Thøc ¨n ch¨n nu«i# 552S (F)_50KG (Thuèc)</t>
  </si>
  <si>
    <t>553MF</t>
  </si>
  <si>
    <t>Thøc ¨n ch¨n nu«i #  553MF (50KG)</t>
  </si>
  <si>
    <t>567SF</t>
  </si>
  <si>
    <t>Thøc ¨n ch¨n nu«i# 567S (F)_50KG (Thuèc)</t>
  </si>
  <si>
    <t>BagOF50-551F-65x105-122-Z-000-C</t>
  </si>
  <si>
    <t>BagOF50-553MF-65x105-122-Z-000-C</t>
  </si>
  <si>
    <t>BagOF50-567SF-65x105-122-Z-000-C</t>
  </si>
  <si>
    <t>511B</t>
  </si>
  <si>
    <t>Thøc ¨n ch¨n nu«i #  511B (25KG)</t>
  </si>
  <si>
    <t>S25</t>
  </si>
  <si>
    <t>552S</t>
  </si>
  <si>
    <t>Thøc ¨n ch¨n nu«i #  552S (25KG)</t>
  </si>
  <si>
    <t>567S</t>
  </si>
  <si>
    <t>Thøc ¨n ch¨n nu«i #  567S (25KG)</t>
  </si>
  <si>
    <t>BS10TA40</t>
  </si>
  <si>
    <t>550SF</t>
  </si>
  <si>
    <t>Thøc ¨n ch¨n nu«i# 550SF(50KG)(Thuèc)</t>
  </si>
  <si>
    <t>Thøc ¨n ch¨n nu«i #  552F(50KG)</t>
  </si>
  <si>
    <t>BagOF50-550SF-65x105-122-Z-000-C</t>
  </si>
  <si>
    <t>Date(Ngày): 14/05/2026</t>
  </si>
  <si>
    <t>BagB25- 551Pro- (42+10)x90-123-B-000-M</t>
  </si>
  <si>
    <t>BagOF50-540F-65x105-122-Z-000-C</t>
  </si>
  <si>
    <t>BagOF50-551GPF-65x105-122-Z-000-C</t>
  </si>
  <si>
    <t>BagOF50-566F-65x105-122-Z-000-C</t>
  </si>
  <si>
    <t>BagO25- 524- 52x87-93-B-000-H</t>
  </si>
  <si>
    <t>BagO25- HT11GP- 52x87-93-C-000-H</t>
  </si>
  <si>
    <t>BagO25- HT12- 52x87-93-C-000-H</t>
  </si>
  <si>
    <t>Bag O25- 510- 54x90-99-B-000-H</t>
  </si>
  <si>
    <t>BagO25-511S 52x87-93-B-000-H</t>
  </si>
  <si>
    <t>510</t>
  </si>
  <si>
    <t>Thøc ¨n ch¨n nu«i #  510 (25KG)</t>
  </si>
  <si>
    <t>511S</t>
  </si>
  <si>
    <t>Thøc ¨n ch¨n nu«i # 511S (25KG)</t>
  </si>
  <si>
    <t>511ANF</t>
  </si>
  <si>
    <t>Thøc ¨n ch¨n nu«i# 511ANF (50KG) (Thuèc)</t>
  </si>
  <si>
    <t>P92</t>
  </si>
  <si>
    <t>Thøc ¨n ch¨n nu«i # 524P(25KG)</t>
  </si>
  <si>
    <t>540F</t>
  </si>
  <si>
    <t>Thøc ¨n ch¨n nu«i #  540F (50KG)</t>
  </si>
  <si>
    <t>551Pro</t>
  </si>
  <si>
    <t>Thøc ¨n ch¨n nu«i # 551Pro (25Kg)</t>
  </si>
  <si>
    <t>551GP</t>
  </si>
  <si>
    <t>Thøc ¨n ch¨n nu«i #  551GP (25KG)</t>
  </si>
  <si>
    <t>551GPF</t>
  </si>
  <si>
    <t>Thøc ¨n ch¨n nu«i# 551GPF(50KG) (Thuèc)</t>
  </si>
  <si>
    <t>S13</t>
  </si>
  <si>
    <t>552</t>
  </si>
  <si>
    <t>Thøc ¨n ch¨n nu«i #  552 (25KG)</t>
  </si>
  <si>
    <t>552M</t>
  </si>
  <si>
    <t>Thøc ¨n ch¨n nu«i #  552M (25KG)</t>
  </si>
  <si>
    <t>553S</t>
  </si>
  <si>
    <t>Thøc ¨n ch¨n nu«i #  553S (25KG)</t>
  </si>
  <si>
    <t>566</t>
  </si>
  <si>
    <t>Thøc ¨n ch¨n nu«i #  566(25KG)</t>
  </si>
  <si>
    <t>566F</t>
  </si>
  <si>
    <t>Thøc ¨n ch¨n nu«i# 566 (F)_50KG (Thuèc)</t>
  </si>
  <si>
    <t>595</t>
  </si>
  <si>
    <t>Thøc ¨n ch¨n nu«i #  595 (25KGS)</t>
  </si>
  <si>
    <t>952</t>
  </si>
  <si>
    <t>Thøc ¨n ch¨n nu«i #  952 (25KG)</t>
  </si>
  <si>
    <t>966</t>
  </si>
  <si>
    <t>Thøc ¨n ch¨n nu«i #  966 (25KG)</t>
  </si>
  <si>
    <t>HT11GP</t>
  </si>
  <si>
    <t>Thøc ¨n ch¨n nu«i #  HT11 GP (25KG)</t>
  </si>
  <si>
    <t>HT12</t>
  </si>
  <si>
    <t>Thøc ¨n ch¨n nu«i #  HT12 (25KG)</t>
  </si>
  <si>
    <t>HT12S</t>
  </si>
  <si>
    <t>Thøc ¨n ch¨n nu«i #  HT12S(25KG)</t>
  </si>
  <si>
    <t>6991</t>
  </si>
  <si>
    <t>Thøc ¨n ch¨n nu«i # 6991 (25KG)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</si>
</sst>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3" fillId="11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7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Z105"/>
  <sheetViews>
    <sheetView zoomScale="80" zoomScaleNormal="80" workbookViewId="0">
      <pane ySplit="2" topLeftCell="A33" activePane="bottomLeft" state="frozen"/>
      <selection pane="bottomLeft" activeCell="J51" sqref="J51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hidden="1" customWidth="1"/>
    <col min="225" max="226" width="6.7109375" style="1" hidden="1" customWidth="1"/>
    <col min="227" max="232" width="5.7109375" style="1" customWidth="1"/>
    <col min="233" max="234" width="6.7109375" style="1" customWidth="1"/>
    <col min="235" max="16384" width="9.140625" style="1"/>
  </cols>
  <sheetData>
    <row r="1" spans="1:234" ht="26.25" x14ac:dyDescent="0.2">
      <c r="A1" s="926" t="s">
        <v>0</v>
      </c>
      <c r="B1" s="926"/>
      <c r="C1" s="926"/>
      <c r="D1" s="926"/>
      <c r="E1" s="926"/>
      <c r="F1" s="926"/>
      <c r="G1" s="926"/>
      <c r="H1" s="926"/>
      <c r="I1" s="926"/>
      <c r="J1" s="926"/>
      <c r="K1" s="926"/>
      <c r="L1" s="926"/>
      <c r="M1" s="926"/>
      <c r="N1" s="926"/>
      <c r="O1" s="926"/>
      <c r="P1" s="926"/>
      <c r="Q1" s="926"/>
      <c r="R1" s="926"/>
      <c r="S1" s="926"/>
      <c r="T1" s="926"/>
      <c r="U1" s="926"/>
      <c r="V1" s="926"/>
      <c r="W1" s="926"/>
      <c r="X1" s="926"/>
      <c r="Y1" s="926"/>
      <c r="Z1" s="20"/>
    </row>
    <row r="2" spans="1:234" ht="26.25" x14ac:dyDescent="0.2">
      <c r="A2" s="926" t="s">
        <v>229</v>
      </c>
      <c r="B2" s="926"/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20"/>
    </row>
    <row r="3" spans="1:234" ht="18.75" x14ac:dyDescent="0.2">
      <c r="A3" s="976" t="s">
        <v>514</v>
      </c>
      <c r="B3" s="976"/>
      <c r="C3" s="976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34" ht="18.75" x14ac:dyDescent="0.2">
      <c r="A4" s="976" t="s">
        <v>515</v>
      </c>
      <c r="B4" s="976"/>
      <c r="C4" s="976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34" ht="18.75" x14ac:dyDescent="0.2">
      <c r="A5" s="976" t="s">
        <v>516</v>
      </c>
      <c r="B5" s="976"/>
      <c r="C5" s="976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34" ht="18.75" x14ac:dyDescent="0.2">
      <c r="A6" s="866" t="s">
        <v>517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34" ht="18.75" x14ac:dyDescent="0.2">
      <c r="A7" s="976" t="s">
        <v>518</v>
      </c>
      <c r="B7" s="976"/>
      <c r="C7" s="976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34" ht="18.75" x14ac:dyDescent="0.2">
      <c r="A8" s="977" t="s">
        <v>519</v>
      </c>
      <c r="B8" s="977"/>
      <c r="C8" s="977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27" t="s">
        <v>584</v>
      </c>
      <c r="Y8" s="927"/>
      <c r="Z8" s="4"/>
    </row>
    <row r="9" spans="1:234" s="5" customFormat="1" ht="28.5" customHeight="1" x14ac:dyDescent="0.2">
      <c r="A9" s="946" t="s">
        <v>275</v>
      </c>
      <c r="B9" s="947"/>
      <c r="C9" s="947"/>
      <c r="D9" s="947"/>
      <c r="E9" s="947"/>
      <c r="F9" s="947"/>
      <c r="G9" s="947"/>
      <c r="H9" s="947"/>
      <c r="I9" s="947"/>
      <c r="J9" s="947"/>
      <c r="K9" s="947"/>
      <c r="L9" s="947"/>
      <c r="M9" s="948"/>
      <c r="N9" s="928" t="s">
        <v>252</v>
      </c>
      <c r="O9" s="929"/>
      <c r="P9" s="949" t="s">
        <v>255</v>
      </c>
      <c r="Q9" s="950"/>
      <c r="R9" s="950"/>
      <c r="S9" s="950"/>
      <c r="T9" s="950"/>
      <c r="U9" s="742"/>
      <c r="V9" s="930" t="s">
        <v>260</v>
      </c>
      <c r="W9" s="933" t="s">
        <v>259</v>
      </c>
      <c r="X9" s="936" t="s">
        <v>265</v>
      </c>
      <c r="Y9" s="939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34" s="307" customFormat="1" ht="24.75" customHeight="1" x14ac:dyDescent="0.2">
      <c r="A10" s="939" t="s">
        <v>248</v>
      </c>
      <c r="B10" s="933" t="s">
        <v>249</v>
      </c>
      <c r="C10" s="965" t="s">
        <v>250</v>
      </c>
      <c r="D10" s="939" t="s">
        <v>251</v>
      </c>
      <c r="E10" s="941" t="s">
        <v>232</v>
      </c>
      <c r="F10" s="942"/>
      <c r="G10" s="967" t="s">
        <v>233</v>
      </c>
      <c r="H10" s="968"/>
      <c r="I10" s="967" t="s">
        <v>234</v>
      </c>
      <c r="J10" s="968"/>
      <c r="K10" s="943" t="s">
        <v>235</v>
      </c>
      <c r="L10" s="944"/>
      <c r="M10" s="945"/>
      <c r="N10" s="933" t="s">
        <v>254</v>
      </c>
      <c r="O10" s="933" t="s">
        <v>253</v>
      </c>
      <c r="P10" s="954" t="s">
        <v>269</v>
      </c>
      <c r="Q10" s="954" t="s">
        <v>253</v>
      </c>
      <c r="R10" s="954" t="s">
        <v>253</v>
      </c>
      <c r="S10" s="951" t="s">
        <v>257</v>
      </c>
      <c r="T10" s="316"/>
      <c r="U10" s="953" t="s">
        <v>258</v>
      </c>
      <c r="V10" s="931"/>
      <c r="W10" s="934"/>
      <c r="X10" s="937"/>
      <c r="Y10" s="940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  <c r="HZ10" s="332">
        <v>6</v>
      </c>
    </row>
    <row r="11" spans="1:234" s="307" customFormat="1" ht="52.5" customHeight="1" x14ac:dyDescent="0.2">
      <c r="A11" s="940"/>
      <c r="B11" s="964"/>
      <c r="C11" s="966"/>
      <c r="D11" s="940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35"/>
      <c r="O11" s="935"/>
      <c r="P11" s="955"/>
      <c r="Q11" s="955"/>
      <c r="R11" s="955"/>
      <c r="S11" s="952"/>
      <c r="T11" s="316"/>
      <c r="U11" s="953"/>
      <c r="V11" s="932"/>
      <c r="W11" s="935"/>
      <c r="X11" s="938"/>
      <c r="Y11" s="940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  <c r="HS11" s="339">
        <v>12</v>
      </c>
      <c r="HT11" s="340">
        <v>13</v>
      </c>
      <c r="HU11" s="340">
        <v>14</v>
      </c>
      <c r="HV11" s="340">
        <v>15</v>
      </c>
      <c r="HW11" s="340">
        <v>16</v>
      </c>
      <c r="HX11" s="340">
        <v>17</v>
      </c>
      <c r="HY11" s="870" t="s">
        <v>263</v>
      </c>
      <c r="HZ11" s="871" t="s">
        <v>264</v>
      </c>
    </row>
    <row r="12" spans="1:234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741</v>
      </c>
      <c r="G12" s="24"/>
      <c r="H12" s="24">
        <v>1819</v>
      </c>
      <c r="I12" s="360"/>
      <c r="J12" s="360">
        <f>SUMIF(SUMPK!$B:$B,$B:$B,SUMPK!$O:$O)</f>
        <v>0</v>
      </c>
      <c r="K12" s="24"/>
      <c r="L12" s="24">
        <f>F12+H12-J12</f>
        <v>2560</v>
      </c>
      <c r="M12" s="15">
        <f>K12+L12</f>
        <v>2560</v>
      </c>
      <c r="N12" s="15">
        <v>112</v>
      </c>
      <c r="O12" s="276">
        <f>IF(N12=0,0,M12/N12)</f>
        <v>22.857142857142858</v>
      </c>
      <c r="P12" s="15">
        <v>111.5</v>
      </c>
      <c r="Q12" s="711">
        <f>T12/$Q$8</f>
        <v>733.33333333333337</v>
      </c>
      <c r="R12" s="276">
        <f>IF(P12=0,0,M12/P12*6)</f>
        <v>137.75784753363229</v>
      </c>
      <c r="S12" s="712">
        <f>T12/$T$8</f>
        <v>169.23076923076923</v>
      </c>
      <c r="T12" s="713">
        <v>4400</v>
      </c>
      <c r="U12" s="276">
        <f>IF(S12=0,0,M12/S12)</f>
        <v>15.127272727272727</v>
      </c>
      <c r="V12" s="278"/>
      <c r="W12" s="276">
        <f>IF(S12=0,0,(M12+V12)/S12)</f>
        <v>15.127272727272727</v>
      </c>
      <c r="X12" s="279">
        <f t="shared" ref="X12:X72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>
        <v>672</v>
      </c>
      <c r="HN12" s="343">
        <v>0</v>
      </c>
      <c r="HO12" s="343">
        <v>0</v>
      </c>
      <c r="HP12" s="343">
        <v>0</v>
      </c>
      <c r="HQ12" s="872">
        <f t="shared" ref="HQ12" si="25">SUM(HK12:HP12)</f>
        <v>672</v>
      </c>
      <c r="HR12" s="873">
        <f>HQ12/$HR$10</f>
        <v>112</v>
      </c>
      <c r="HS12" s="346">
        <v>671</v>
      </c>
      <c r="HT12" s="343">
        <v>0</v>
      </c>
      <c r="HU12" s="343"/>
      <c r="HV12" s="343"/>
      <c r="HW12" s="343"/>
      <c r="HX12" s="343"/>
      <c r="HY12" s="872">
        <f t="shared" ref="HY12" si="26">SUM(HS12:HX12)</f>
        <v>671</v>
      </c>
      <c r="HZ12" s="873">
        <f>HY12/$HZ$10</f>
        <v>111.83333333333333</v>
      </c>
    </row>
    <row r="13" spans="1:234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2789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2789</v>
      </c>
      <c r="M13" s="15">
        <f t="shared" ref="M13:M72" si="27">K13+L13</f>
        <v>2789</v>
      </c>
      <c r="N13" s="15">
        <v>168.16666666666666</v>
      </c>
      <c r="O13" s="276">
        <f t="shared" ref="O13:O72" si="28">IF(N13=0,0,M13/N13)</f>
        <v>16.584737363726461</v>
      </c>
      <c r="P13" s="15">
        <v>112.5</v>
      </c>
      <c r="Q13" s="711">
        <f t="shared" ref="Q13:Q72" si="29">T13/$Q$8</f>
        <v>533.33333333333337</v>
      </c>
      <c r="R13" s="276">
        <f t="shared" ref="R13:R72" si="30">IF(P13=0,0,M13/P13*6)</f>
        <v>148.74666666666667</v>
      </c>
      <c r="S13" s="712">
        <f t="shared" ref="S13:S71" si="31">T13/$T$8</f>
        <v>123.07692307692308</v>
      </c>
      <c r="T13" s="713">
        <v>3200</v>
      </c>
      <c r="U13" s="276">
        <f t="shared" ref="U13:U21" si="32">IF(S13=0,0,M13/S13)</f>
        <v>22.660625</v>
      </c>
      <c r="V13" s="278"/>
      <c r="W13" s="276">
        <f t="shared" ref="W13:W72" si="33">IF(S13=0,0,(M13+V13)/S13)</f>
        <v>22.660625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2" si="34">SUM(AA13:AF13)</f>
        <v>1030</v>
      </c>
      <c r="AH13" s="211">
        <f t="shared" ref="AH13:AH72" si="35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2" si="36">SUM(AI13:AN13)</f>
        <v>0</v>
      </c>
      <c r="AP13" s="809">
        <f t="shared" ref="AP13:AP72" si="37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2" si="38">SUM(AQ13:AV13)</f>
        <v>937</v>
      </c>
      <c r="AX13" s="211">
        <f t="shared" ref="AX13:AX72" si="39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2" si="40">SUM(AY13:BD13)</f>
        <v>669</v>
      </c>
      <c r="BF13" s="211">
        <f t="shared" ref="BF13:BF72" si="41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2" si="42">SUM(BG13:BL13)</f>
        <v>677</v>
      </c>
      <c r="BN13" s="211">
        <f t="shared" ref="BN13:BN72" si="43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2" si="44">SUM(BO13:BT13)</f>
        <v>662</v>
      </c>
      <c r="BV13" s="211">
        <f t="shared" ref="BV13:BV72" si="45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2" si="46">SUM(BW13:CB13)</f>
        <v>666</v>
      </c>
      <c r="CD13" s="211">
        <f t="shared" ref="CD13:CD72" si="47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1" si="48">SUM(CE13:CJ13)</f>
        <v>675</v>
      </c>
      <c r="CL13" s="211">
        <f t="shared" ref="CL13:CL71" si="49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2" si="50">SUM(CM13:CR13)</f>
        <v>674</v>
      </c>
      <c r="CT13" s="211">
        <f t="shared" ref="CT13:CT72" si="51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1" si="52">SUM(CU13:CZ13)</f>
        <v>673</v>
      </c>
      <c r="DB13" s="211">
        <f t="shared" ref="DB13:DB71" si="53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1" si="54">SUM(DC13:DH13)</f>
        <v>1008</v>
      </c>
      <c r="DJ13" s="211">
        <f t="shared" ref="DJ13:DJ71" si="55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1" si="56">SUM(DK13:DP13)</f>
        <v>675</v>
      </c>
      <c r="DR13" s="211">
        <f t="shared" ref="DR13:DR71" si="57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2" si="58">SUM(DS13:DX13)</f>
        <v>671</v>
      </c>
      <c r="DZ13" s="211">
        <f t="shared" ref="DZ13:DZ72" si="59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2" si="60">SUM(EA13:EF13)</f>
        <v>0</v>
      </c>
      <c r="EH13" s="211">
        <f t="shared" ref="EH13:EH72" si="61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1" si="62">SUM(EI13:EN13)</f>
        <v>670</v>
      </c>
      <c r="EP13" s="211">
        <f t="shared" ref="EP13:EP71" si="63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1" si="64">SUM(EQ13:EV13)</f>
        <v>661</v>
      </c>
      <c r="EX13" s="211">
        <f t="shared" ref="EX13:EX71" si="65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2" si="66">SUM(EY13:FD13)</f>
        <v>1000</v>
      </c>
      <c r="FF13" s="211">
        <f t="shared" ref="FF13:FF72" si="67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2" si="68">SUM(FG13:FL13)</f>
        <v>0</v>
      </c>
      <c r="FN13" s="211">
        <f t="shared" ref="FN13:FN72" si="69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2" si="70">SUM(FO13:FT13)</f>
        <v>1033</v>
      </c>
      <c r="FV13" s="211">
        <f t="shared" ref="FV13:FV72" si="71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1" si="72">SUM(FW13:GB13)</f>
        <v>1575</v>
      </c>
      <c r="GD13" s="211">
        <f t="shared" ref="GD13:GD71" si="73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1" si="74">SUM(GE13:GJ13)</f>
        <v>111</v>
      </c>
      <c r="GL13" s="211">
        <f t="shared" ref="GL13:GL71" si="75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2" si="76">SUM(GM13:GR13)</f>
        <v>1005</v>
      </c>
      <c r="GT13" s="873">
        <f t="shared" ref="GT13:GT72" si="77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1" si="78">SUM(GU13:GZ13)</f>
        <v>999</v>
      </c>
      <c r="HB13" s="873">
        <f t="shared" ref="HB13:HB71" si="79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2" si="80">SUM(HC13:HH13)</f>
        <v>0</v>
      </c>
      <c r="HJ13" s="873">
        <f t="shared" ref="HJ13:HJ72" si="81">HI13/$HJ$10</f>
        <v>0</v>
      </c>
      <c r="HK13" s="346">
        <v>0</v>
      </c>
      <c r="HL13" s="343">
        <v>0</v>
      </c>
      <c r="HM13" s="343">
        <v>0</v>
      </c>
      <c r="HN13" s="343">
        <v>0</v>
      </c>
      <c r="HO13" s="343">
        <v>1009</v>
      </c>
      <c r="HP13" s="343">
        <v>0</v>
      </c>
      <c r="HQ13" s="872">
        <f t="shared" ref="HQ13:HQ72" si="82">SUM(HK13:HP13)</f>
        <v>1009</v>
      </c>
      <c r="HR13" s="873">
        <f t="shared" ref="HR13:HR72" si="83">HQ13/$HR$10</f>
        <v>168.16666666666666</v>
      </c>
      <c r="HS13" s="346">
        <v>0</v>
      </c>
      <c r="HT13" s="343">
        <v>0</v>
      </c>
      <c r="HU13" s="343"/>
      <c r="HV13" s="343"/>
      <c r="HW13" s="343"/>
      <c r="HX13" s="343"/>
      <c r="HY13" s="872">
        <f t="shared" ref="HY13:HY72" si="84">SUM(HS13:HX13)</f>
        <v>0</v>
      </c>
      <c r="HZ13" s="873">
        <f t="shared" ref="HZ13:HZ72" si="85">HY13/$HZ$10</f>
        <v>0</v>
      </c>
    </row>
    <row r="14" spans="1:234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>
        <v>1810</v>
      </c>
      <c r="I14" s="360"/>
      <c r="J14" s="360">
        <f>SUMIF(SUMPK!$B:$B,$B:$B,SUMPK!$O:$O)</f>
        <v>0</v>
      </c>
      <c r="K14" s="24"/>
      <c r="L14" s="24">
        <f t="shared" ref="L14:L72" si="86">F14+H14-J14</f>
        <v>2767</v>
      </c>
      <c r="M14" s="15">
        <f t="shared" si="27"/>
        <v>2767</v>
      </c>
      <c r="N14" s="15">
        <v>0</v>
      </c>
      <c r="O14" s="276">
        <f t="shared" si="28"/>
        <v>0</v>
      </c>
      <c r="P14" s="15">
        <v>57.333333333333336</v>
      </c>
      <c r="Q14" s="711">
        <f t="shared" si="29"/>
        <v>106.66666666666667</v>
      </c>
      <c r="R14" s="276">
        <f t="shared" si="30"/>
        <v>289.56976744186045</v>
      </c>
      <c r="S14" s="712">
        <f t="shared" si="31"/>
        <v>24.615384615384617</v>
      </c>
      <c r="T14" s="713">
        <v>640</v>
      </c>
      <c r="U14" s="276">
        <f t="shared" si="32"/>
        <v>112.409375</v>
      </c>
      <c r="V14" s="278"/>
      <c r="W14" s="276">
        <f t="shared" si="33"/>
        <v>112.409375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4"/>
        <v>344</v>
      </c>
      <c r="AH14" s="211">
        <f t="shared" si="35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6"/>
        <v>0</v>
      </c>
      <c r="AP14" s="809">
        <f t="shared" si="37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8"/>
        <v>0</v>
      </c>
      <c r="AX14" s="211">
        <f t="shared" si="39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40"/>
        <v>0</v>
      </c>
      <c r="BF14" s="211">
        <f t="shared" si="41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2"/>
        <v>339</v>
      </c>
      <c r="BN14" s="211">
        <f t="shared" si="43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4"/>
        <v>0</v>
      </c>
      <c r="BV14" s="211">
        <f t="shared" si="45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6"/>
        <v>0</v>
      </c>
      <c r="CD14" s="211">
        <f t="shared" si="47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8"/>
        <v>344</v>
      </c>
      <c r="CL14" s="211">
        <f t="shared" si="49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50"/>
        <v>0</v>
      </c>
      <c r="CT14" s="211">
        <f t="shared" si="51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2"/>
        <v>0</v>
      </c>
      <c r="DB14" s="211">
        <f t="shared" si="53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4"/>
        <v>0</v>
      </c>
      <c r="DJ14" s="211">
        <f t="shared" si="55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6"/>
        <v>337</v>
      </c>
      <c r="DR14" s="211">
        <f t="shared" si="57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8"/>
        <v>0</v>
      </c>
      <c r="DZ14" s="211">
        <f t="shared" si="59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60"/>
        <v>338</v>
      </c>
      <c r="EH14" s="211">
        <f t="shared" si="61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2"/>
        <v>0</v>
      </c>
      <c r="EP14" s="211">
        <f t="shared" si="63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4"/>
        <v>0</v>
      </c>
      <c r="EX14" s="211">
        <f t="shared" si="65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6"/>
        <v>335</v>
      </c>
      <c r="FF14" s="211">
        <f t="shared" si="67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8"/>
        <v>0</v>
      </c>
      <c r="FN14" s="211">
        <f t="shared" si="69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70"/>
        <v>0</v>
      </c>
      <c r="FV14" s="211">
        <f t="shared" si="71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2"/>
        <v>0</v>
      </c>
      <c r="GD14" s="211">
        <f t="shared" si="73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4"/>
        <v>331</v>
      </c>
      <c r="GL14" s="211">
        <f t="shared" si="75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6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8"/>
        <v>0</v>
      </c>
      <c r="HB14" s="873">
        <f t="shared" si="79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80"/>
        <v>339</v>
      </c>
      <c r="HJ14" s="873">
        <f t="shared" si="81"/>
        <v>56.5</v>
      </c>
      <c r="HK14" s="346">
        <v>0</v>
      </c>
      <c r="HL14" s="343">
        <v>0</v>
      </c>
      <c r="HM14" s="343">
        <v>0</v>
      </c>
      <c r="HN14" s="343">
        <v>0</v>
      </c>
      <c r="HO14" s="343">
        <v>0</v>
      </c>
      <c r="HP14" s="343">
        <v>0</v>
      </c>
      <c r="HQ14" s="872">
        <f t="shared" si="82"/>
        <v>0</v>
      </c>
      <c r="HR14" s="873">
        <f t="shared" si="83"/>
        <v>0</v>
      </c>
      <c r="HS14" s="346">
        <v>0</v>
      </c>
      <c r="HT14" s="343">
        <v>0</v>
      </c>
      <c r="HU14" s="343"/>
      <c r="HV14" s="343"/>
      <c r="HW14" s="343"/>
      <c r="HX14" s="343"/>
      <c r="HY14" s="872">
        <f t="shared" si="84"/>
        <v>0</v>
      </c>
      <c r="HZ14" s="873">
        <f t="shared" si="85"/>
        <v>0</v>
      </c>
    </row>
    <row r="15" spans="1:234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3180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87">F15+H15-J15</f>
        <v>3180</v>
      </c>
      <c r="M15" s="15">
        <f t="shared" si="27"/>
        <v>3180</v>
      </c>
      <c r="N15" s="15">
        <v>82.666666666666671</v>
      </c>
      <c r="O15" s="276">
        <f t="shared" si="28"/>
        <v>38.467741935483872</v>
      </c>
      <c r="P15" s="15">
        <v>195.66666666666666</v>
      </c>
      <c r="Q15" s="711">
        <f t="shared" si="29"/>
        <v>733.33333333333337</v>
      </c>
      <c r="R15" s="276">
        <f t="shared" si="30"/>
        <v>97.512776831345832</v>
      </c>
      <c r="S15" s="712">
        <f t="shared" si="31"/>
        <v>169.23076923076923</v>
      </c>
      <c r="T15" s="713">
        <v>4400</v>
      </c>
      <c r="U15" s="276">
        <f t="shared" si="32"/>
        <v>18.790909090909093</v>
      </c>
      <c r="V15" s="278"/>
      <c r="W15" s="276">
        <f t="shared" si="33"/>
        <v>18.790909090909093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4"/>
        <v>1586</v>
      </c>
      <c r="AH15" s="211">
        <f t="shared" si="35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6"/>
        <v>2404</v>
      </c>
      <c r="AP15" s="809">
        <f t="shared" si="37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8"/>
        <v>1478</v>
      </c>
      <c r="AX15" s="211">
        <f t="shared" si="39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40"/>
        <v>1494</v>
      </c>
      <c r="BF15" s="211">
        <f t="shared" si="41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2"/>
        <v>676</v>
      </c>
      <c r="BN15" s="211">
        <f t="shared" si="43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4"/>
        <v>1412</v>
      </c>
      <c r="BV15" s="211">
        <f t="shared" si="45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6"/>
        <v>1012</v>
      </c>
      <c r="CD15" s="211">
        <f t="shared" si="47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8"/>
        <v>1357</v>
      </c>
      <c r="CL15" s="211">
        <f t="shared" si="49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50"/>
        <v>657</v>
      </c>
      <c r="CT15" s="211">
        <f t="shared" si="51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2"/>
        <v>1310</v>
      </c>
      <c r="DB15" s="211">
        <f t="shared" si="53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4"/>
        <v>1019</v>
      </c>
      <c r="DJ15" s="211">
        <f t="shared" si="55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6"/>
        <v>1282</v>
      </c>
      <c r="DR15" s="211">
        <f t="shared" si="57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8"/>
        <v>1004</v>
      </c>
      <c r="DZ15" s="211">
        <f t="shared" si="59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60"/>
        <v>1192</v>
      </c>
      <c r="EH15" s="211">
        <f t="shared" si="61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2"/>
        <v>338</v>
      </c>
      <c r="EP15" s="211">
        <f t="shared" si="63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4"/>
        <v>1510</v>
      </c>
      <c r="EX15" s="211">
        <f t="shared" si="65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6"/>
        <v>690</v>
      </c>
      <c r="FF15" s="211">
        <f t="shared" si="67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8"/>
        <v>1324</v>
      </c>
      <c r="FN15" s="211">
        <f t="shared" si="69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70"/>
        <v>0</v>
      </c>
      <c r="FV15" s="211">
        <f t="shared" si="71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2"/>
        <v>1361</v>
      </c>
      <c r="GD15" s="211">
        <f t="shared" si="73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4"/>
        <v>1308</v>
      </c>
      <c r="GL15" s="211">
        <f t="shared" si="75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6"/>
        <v>690</v>
      </c>
      <c r="GT15" s="873">
        <f t="shared" si="77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8"/>
        <v>2124</v>
      </c>
      <c r="HB15" s="873">
        <f t="shared" si="79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80"/>
        <v>1390</v>
      </c>
      <c r="HJ15" s="873">
        <f t="shared" si="81"/>
        <v>231.66666666666666</v>
      </c>
      <c r="HK15" s="346">
        <v>0</v>
      </c>
      <c r="HL15" s="343">
        <v>0</v>
      </c>
      <c r="HM15" s="343">
        <v>0</v>
      </c>
      <c r="HN15" s="343">
        <v>496</v>
      </c>
      <c r="HO15" s="343">
        <v>0</v>
      </c>
      <c r="HP15" s="343">
        <v>0</v>
      </c>
      <c r="HQ15" s="872">
        <f t="shared" si="82"/>
        <v>496</v>
      </c>
      <c r="HR15" s="873">
        <f t="shared" si="83"/>
        <v>82.666666666666671</v>
      </c>
      <c r="HS15" s="346">
        <v>285</v>
      </c>
      <c r="HT15" s="343">
        <v>0</v>
      </c>
      <c r="HU15" s="343"/>
      <c r="HV15" s="343"/>
      <c r="HW15" s="343"/>
      <c r="HX15" s="343"/>
      <c r="HY15" s="872">
        <f t="shared" si="84"/>
        <v>285</v>
      </c>
      <c r="HZ15" s="873">
        <f t="shared" si="85"/>
        <v>47.5</v>
      </c>
    </row>
    <row r="16" spans="1:234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7"/>
        <v>1739</v>
      </c>
      <c r="M16" s="15">
        <f t="shared" si="27"/>
        <v>1739</v>
      </c>
      <c r="N16" s="15">
        <v>26.666666666666668</v>
      </c>
      <c r="O16" s="276">
        <f t="shared" si="28"/>
        <v>65.212499999999991</v>
      </c>
      <c r="P16" s="15">
        <v>56.666666666666664</v>
      </c>
      <c r="Q16" s="711">
        <f t="shared" si="29"/>
        <v>205</v>
      </c>
      <c r="R16" s="276">
        <f t="shared" si="30"/>
        <v>184.12941176470591</v>
      </c>
      <c r="S16" s="712">
        <f t="shared" si="31"/>
        <v>47.307692307692307</v>
      </c>
      <c r="T16" s="713">
        <v>1230</v>
      </c>
      <c r="U16" s="276">
        <f t="shared" si="32"/>
        <v>36.759349593495934</v>
      </c>
      <c r="V16" s="278"/>
      <c r="W16" s="276">
        <f t="shared" si="33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4"/>
        <v>348</v>
      </c>
      <c r="AH16" s="211">
        <f t="shared" si="35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6"/>
        <v>0</v>
      </c>
      <c r="AP16" s="809">
        <f t="shared" si="37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8"/>
        <v>355</v>
      </c>
      <c r="AX16" s="211">
        <f t="shared" si="39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40"/>
        <v>0</v>
      </c>
      <c r="BF16" s="211">
        <f t="shared" si="41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2"/>
        <v>220</v>
      </c>
      <c r="BN16" s="211">
        <f t="shared" si="43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4"/>
        <v>368</v>
      </c>
      <c r="BV16" s="211">
        <f t="shared" si="45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6"/>
        <v>0</v>
      </c>
      <c r="CD16" s="211">
        <f t="shared" si="47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8"/>
        <v>0</v>
      </c>
      <c r="CL16" s="211">
        <f t="shared" si="49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50"/>
        <v>340</v>
      </c>
      <c r="CT16" s="211">
        <f t="shared" si="51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2"/>
        <v>0</v>
      </c>
      <c r="DB16" s="211">
        <f t="shared" si="53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4"/>
        <v>0</v>
      </c>
      <c r="DJ16" s="211">
        <f t="shared" si="55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6"/>
        <v>343</v>
      </c>
      <c r="DR16" s="211">
        <f t="shared" si="57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8"/>
        <v>0</v>
      </c>
      <c r="DZ16" s="211">
        <f t="shared" si="59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60"/>
        <v>343</v>
      </c>
      <c r="EH16" s="211">
        <f t="shared" si="61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2"/>
        <v>0</v>
      </c>
      <c r="EP16" s="211">
        <f t="shared" si="63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4"/>
        <v>161</v>
      </c>
      <c r="EX16" s="211">
        <f t="shared" si="65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6"/>
        <v>0</v>
      </c>
      <c r="FF16" s="211">
        <f t="shared" si="67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8"/>
        <v>0</v>
      </c>
      <c r="FN16" s="211">
        <f t="shared" si="69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70"/>
        <v>358</v>
      </c>
      <c r="FV16" s="211">
        <f t="shared" si="71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2"/>
        <v>0</v>
      </c>
      <c r="GD16" s="211">
        <f t="shared" si="73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4"/>
        <v>271</v>
      </c>
      <c r="GL16" s="211">
        <f t="shared" si="75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6"/>
        <v>0</v>
      </c>
      <c r="GT16" s="873">
        <f t="shared" si="77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8"/>
        <v>135</v>
      </c>
      <c r="HB16" s="873">
        <f t="shared" si="79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80"/>
        <v>0</v>
      </c>
      <c r="HJ16" s="873">
        <f t="shared" si="81"/>
        <v>0</v>
      </c>
      <c r="HK16" s="346">
        <v>160</v>
      </c>
      <c r="HL16" s="343">
        <v>0</v>
      </c>
      <c r="HM16" s="343">
        <v>0</v>
      </c>
      <c r="HN16" s="343">
        <v>0</v>
      </c>
      <c r="HO16" s="343">
        <v>0</v>
      </c>
      <c r="HP16" s="343">
        <v>0</v>
      </c>
      <c r="HQ16" s="872">
        <f t="shared" si="82"/>
        <v>160</v>
      </c>
      <c r="HR16" s="873">
        <f t="shared" si="83"/>
        <v>26.666666666666668</v>
      </c>
      <c r="HS16" s="346">
        <v>0</v>
      </c>
      <c r="HT16" s="343">
        <v>0</v>
      </c>
      <c r="HU16" s="343"/>
      <c r="HV16" s="343"/>
      <c r="HW16" s="343"/>
      <c r="HX16" s="343"/>
      <c r="HY16" s="872">
        <f t="shared" si="84"/>
        <v>0</v>
      </c>
      <c r="HZ16" s="873">
        <f t="shared" si="85"/>
        <v>0</v>
      </c>
    </row>
    <row r="17" spans="1:234" s="341" customFormat="1" ht="15" customHeight="1" x14ac:dyDescent="0.2">
      <c r="A17" s="21">
        <v>6</v>
      </c>
      <c r="B17" s="21" t="s">
        <v>440</v>
      </c>
      <c r="C17" s="275" t="s">
        <v>441</v>
      </c>
      <c r="D17" s="21">
        <v>25</v>
      </c>
      <c r="E17" s="24"/>
      <c r="F17" s="24">
        <v>2434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8">F17+H17-J17</f>
        <v>2434</v>
      </c>
      <c r="M17" s="15">
        <f t="shared" si="27"/>
        <v>2434</v>
      </c>
      <c r="N17" s="15">
        <v>131.66666666666666</v>
      </c>
      <c r="O17" s="276">
        <f t="shared" si="28"/>
        <v>18.486075949367091</v>
      </c>
      <c r="P17" s="15"/>
      <c r="Q17" s="711"/>
      <c r="R17" s="276"/>
      <c r="S17" s="712">
        <f t="shared" si="31"/>
        <v>123.07692307692308</v>
      </c>
      <c r="T17" s="713">
        <v>3200</v>
      </c>
      <c r="U17" s="276">
        <f t="shared" si="32"/>
        <v>19.776250000000001</v>
      </c>
      <c r="V17" s="278"/>
      <c r="W17" s="276">
        <f t="shared" si="33"/>
        <v>19.776250000000001</v>
      </c>
      <c r="X17" s="279">
        <f t="shared" ref="X17" si="89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4"/>
        <v>0</v>
      </c>
      <c r="AH17" s="211">
        <f t="shared" si="35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6"/>
        <v>0</v>
      </c>
      <c r="AP17" s="809">
        <f t="shared" si="37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8"/>
        <v>205</v>
      </c>
      <c r="AX17" s="211">
        <f t="shared" si="39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40"/>
        <v>88</v>
      </c>
      <c r="BF17" s="211">
        <f t="shared" si="41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2"/>
        <v>0</v>
      </c>
      <c r="BN17" s="211">
        <f t="shared" si="43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4"/>
        <v>92</v>
      </c>
      <c r="BV17" s="211">
        <f t="shared" si="45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6"/>
        <v>0</v>
      </c>
      <c r="CD17" s="211">
        <f t="shared" si="47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8"/>
        <v>160</v>
      </c>
      <c r="CL17" s="211">
        <f t="shared" si="49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50"/>
        <v>150</v>
      </c>
      <c r="CT17" s="211">
        <f t="shared" si="51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2"/>
        <v>637</v>
      </c>
      <c r="DB17" s="211">
        <f t="shared" si="53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4"/>
        <v>316</v>
      </c>
      <c r="DJ17" s="211">
        <f t="shared" si="55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6"/>
        <v>2557</v>
      </c>
      <c r="DR17" s="211">
        <f t="shared" si="57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8"/>
        <v>73</v>
      </c>
      <c r="DZ17" s="211">
        <f t="shared" si="59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60"/>
        <v>597</v>
      </c>
      <c r="EH17" s="211">
        <f t="shared" si="61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2"/>
        <v>612</v>
      </c>
      <c r="EP17" s="211">
        <f t="shared" si="63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4"/>
        <v>730</v>
      </c>
      <c r="EX17" s="211">
        <f t="shared" si="65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6"/>
        <v>611</v>
      </c>
      <c r="FF17" s="211">
        <f t="shared" si="67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8"/>
        <v>942</v>
      </c>
      <c r="FN17" s="211">
        <f t="shared" si="69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70"/>
        <v>672</v>
      </c>
      <c r="FV17" s="211">
        <f t="shared" si="71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2"/>
        <v>697</v>
      </c>
      <c r="GD17" s="211">
        <f t="shared" si="73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4"/>
        <v>1243</v>
      </c>
      <c r="GL17" s="211">
        <f t="shared" si="75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6"/>
        <v>584</v>
      </c>
      <c r="GT17" s="873">
        <f t="shared" si="77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8"/>
        <v>628</v>
      </c>
      <c r="HB17" s="873">
        <f t="shared" si="79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80"/>
        <v>1271</v>
      </c>
      <c r="HJ17" s="873">
        <f t="shared" si="81"/>
        <v>211.83333333333334</v>
      </c>
      <c r="HK17" s="346">
        <v>0</v>
      </c>
      <c r="HL17" s="343">
        <v>0</v>
      </c>
      <c r="HM17" s="343">
        <v>0</v>
      </c>
      <c r="HN17" s="343">
        <v>0</v>
      </c>
      <c r="HO17" s="343">
        <v>0</v>
      </c>
      <c r="HP17" s="343">
        <v>790</v>
      </c>
      <c r="HQ17" s="872">
        <f t="shared" si="82"/>
        <v>790</v>
      </c>
      <c r="HR17" s="873">
        <f t="shared" si="83"/>
        <v>131.66666666666666</v>
      </c>
      <c r="HS17" s="346">
        <v>0</v>
      </c>
      <c r="HT17" s="343">
        <v>73</v>
      </c>
      <c r="HU17" s="343"/>
      <c r="HV17" s="343"/>
      <c r="HW17" s="343"/>
      <c r="HX17" s="343"/>
      <c r="HY17" s="872">
        <f t="shared" si="84"/>
        <v>73</v>
      </c>
      <c r="HZ17" s="873">
        <f t="shared" si="85"/>
        <v>12.166666666666666</v>
      </c>
    </row>
    <row r="18" spans="1:234" s="341" customFormat="1" ht="15" customHeight="1" x14ac:dyDescent="0.2">
      <c r="A18" s="21">
        <v>7</v>
      </c>
      <c r="B18" s="21" t="s">
        <v>57</v>
      </c>
      <c r="C18" s="275" t="s">
        <v>298</v>
      </c>
      <c r="D18" s="391">
        <v>25</v>
      </c>
      <c r="E18" s="24"/>
      <c r="F18" s="24">
        <v>1157</v>
      </c>
      <c r="G18" s="24"/>
      <c r="H18" s="24">
        <v>6625</v>
      </c>
      <c r="I18" s="360"/>
      <c r="J18" s="360">
        <f>SUMIF(SUMPK!$B:$B,$B:$B,SUMPK!$O:$O)</f>
        <v>329</v>
      </c>
      <c r="K18" s="24"/>
      <c r="L18" s="24">
        <f t="shared" si="87"/>
        <v>7453</v>
      </c>
      <c r="M18" s="15">
        <f t="shared" si="27"/>
        <v>7453</v>
      </c>
      <c r="N18" s="15">
        <v>910</v>
      </c>
      <c r="O18" s="276">
        <f t="shared" si="28"/>
        <v>8.1901098901098894</v>
      </c>
      <c r="P18" s="15">
        <v>547.33333333333337</v>
      </c>
      <c r="Q18" s="711">
        <f t="shared" si="29"/>
        <v>1600</v>
      </c>
      <c r="R18" s="276">
        <f t="shared" si="30"/>
        <v>81.701583434835555</v>
      </c>
      <c r="S18" s="712">
        <f t="shared" si="31"/>
        <v>369.23076923076923</v>
      </c>
      <c r="T18" s="713">
        <v>9600</v>
      </c>
      <c r="U18" s="276">
        <f t="shared" si="32"/>
        <v>20.185208333333332</v>
      </c>
      <c r="V18" s="278"/>
      <c r="W18" s="276">
        <f t="shared" si="33"/>
        <v>20.185208333333332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4"/>
        <v>2257</v>
      </c>
      <c r="AH18" s="211">
        <f t="shared" si="35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6"/>
        <v>3974</v>
      </c>
      <c r="AP18" s="809">
        <f t="shared" si="37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8"/>
        <v>1577</v>
      </c>
      <c r="AX18" s="211">
        <f t="shared" si="39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40"/>
        <v>3634</v>
      </c>
      <c r="BF18" s="211">
        <f t="shared" si="41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2"/>
        <v>1699</v>
      </c>
      <c r="BN18" s="211">
        <f t="shared" si="43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4"/>
        <v>5709</v>
      </c>
      <c r="BV18" s="211">
        <f t="shared" si="45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6"/>
        <v>2265</v>
      </c>
      <c r="CD18" s="211">
        <f t="shared" si="47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8"/>
        <v>2839</v>
      </c>
      <c r="CL18" s="211">
        <f t="shared" si="49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50"/>
        <v>3187</v>
      </c>
      <c r="CT18" s="211">
        <f t="shared" si="51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2"/>
        <v>3927</v>
      </c>
      <c r="DB18" s="211">
        <f t="shared" si="53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4"/>
        <v>2504</v>
      </c>
      <c r="DJ18" s="211">
        <f t="shared" si="55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6"/>
        <v>1969</v>
      </c>
      <c r="DR18" s="211">
        <f t="shared" si="57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8"/>
        <v>5534</v>
      </c>
      <c r="DZ18" s="211">
        <f t="shared" si="59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60"/>
        <v>1938</v>
      </c>
      <c r="EH18" s="211">
        <f t="shared" si="61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2"/>
        <v>3127</v>
      </c>
      <c r="EP18" s="211">
        <f t="shared" si="63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4"/>
        <v>6142</v>
      </c>
      <c r="EX18" s="211">
        <f t="shared" si="65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6"/>
        <v>4003</v>
      </c>
      <c r="FF18" s="211">
        <f t="shared" si="67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8"/>
        <v>4206</v>
      </c>
      <c r="FN18" s="211">
        <f t="shared" si="69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70"/>
        <v>1958</v>
      </c>
      <c r="FV18" s="211">
        <f t="shared" si="71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2"/>
        <v>4534</v>
      </c>
      <c r="GD18" s="211">
        <f t="shared" si="73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4"/>
        <v>2853</v>
      </c>
      <c r="GL18" s="211">
        <f t="shared" si="75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6"/>
        <v>3578</v>
      </c>
      <c r="GT18" s="873">
        <f t="shared" si="77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8"/>
        <v>2970</v>
      </c>
      <c r="HB18" s="873">
        <f t="shared" si="79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80"/>
        <v>7728</v>
      </c>
      <c r="HJ18" s="873">
        <f t="shared" si="81"/>
        <v>1288</v>
      </c>
      <c r="HK18" s="346">
        <v>123</v>
      </c>
      <c r="HL18" s="343">
        <v>0</v>
      </c>
      <c r="HM18" s="343">
        <v>3581</v>
      </c>
      <c r="HN18" s="343">
        <v>0</v>
      </c>
      <c r="HO18" s="343">
        <v>1756</v>
      </c>
      <c r="HP18" s="343">
        <v>0</v>
      </c>
      <c r="HQ18" s="872">
        <f t="shared" si="82"/>
        <v>5460</v>
      </c>
      <c r="HR18" s="873">
        <f t="shared" si="83"/>
        <v>910</v>
      </c>
      <c r="HS18" s="346">
        <v>0</v>
      </c>
      <c r="HT18" s="343">
        <v>0</v>
      </c>
      <c r="HU18" s="343"/>
      <c r="HV18" s="343"/>
      <c r="HW18" s="343"/>
      <c r="HX18" s="343"/>
      <c r="HY18" s="872">
        <f t="shared" si="84"/>
        <v>0</v>
      </c>
      <c r="HZ18" s="873">
        <f t="shared" si="85"/>
        <v>0</v>
      </c>
    </row>
    <row r="19" spans="1:234" s="341" customFormat="1" ht="15" customHeight="1" x14ac:dyDescent="0.2">
      <c r="A19" s="21">
        <v>8</v>
      </c>
      <c r="B19" s="714" t="s">
        <v>339</v>
      </c>
      <c r="C19" s="275" t="s">
        <v>340</v>
      </c>
      <c r="D19" s="391">
        <v>25</v>
      </c>
      <c r="E19" s="24"/>
      <c r="F19" s="24">
        <v>838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90">F19+H19-J19</f>
        <v>838</v>
      </c>
      <c r="M19" s="15">
        <f t="shared" ref="M19" si="91">K19+L19</f>
        <v>838</v>
      </c>
      <c r="N19" s="15">
        <v>97.833333333333329</v>
      </c>
      <c r="O19" s="276">
        <f t="shared" si="28"/>
        <v>8.5655877342419089</v>
      </c>
      <c r="P19" s="15"/>
      <c r="Q19" s="711"/>
      <c r="R19" s="276"/>
      <c r="S19" s="712">
        <f t="shared" si="31"/>
        <v>61.53846153846154</v>
      </c>
      <c r="T19" s="713">
        <v>1600</v>
      </c>
      <c r="U19" s="276">
        <f t="shared" si="32"/>
        <v>13.6175</v>
      </c>
      <c r="V19" s="278"/>
      <c r="W19" s="276">
        <f t="shared" si="33"/>
        <v>13.6175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4"/>
        <v>0</v>
      </c>
      <c r="AH19" s="211">
        <f t="shared" si="35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6"/>
        <v>229</v>
      </c>
      <c r="AP19" s="809">
        <f t="shared" si="37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8"/>
        <v>0</v>
      </c>
      <c r="AX19" s="211">
        <f t="shared" si="39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40"/>
        <v>250</v>
      </c>
      <c r="BF19" s="211">
        <f t="shared" si="41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2"/>
        <v>0</v>
      </c>
      <c r="BN19" s="211">
        <f t="shared" si="43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4"/>
        <v>0</v>
      </c>
      <c r="BV19" s="211">
        <f t="shared" si="45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6"/>
        <v>291</v>
      </c>
      <c r="CD19" s="211">
        <f t="shared" si="47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8"/>
        <v>0</v>
      </c>
      <c r="CL19" s="211">
        <f t="shared" si="49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50"/>
        <v>604</v>
      </c>
      <c r="CT19" s="211">
        <f t="shared" si="51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2"/>
        <v>616</v>
      </c>
      <c r="DB19" s="211">
        <f t="shared" si="53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4"/>
        <v>607</v>
      </c>
      <c r="DJ19" s="211">
        <f t="shared" si="55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6"/>
        <v>970</v>
      </c>
      <c r="DR19" s="211">
        <f t="shared" si="57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8"/>
        <v>0</v>
      </c>
      <c r="DZ19" s="211">
        <f t="shared" si="59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60"/>
        <v>923</v>
      </c>
      <c r="EH19" s="211">
        <f t="shared" si="61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2"/>
        <v>0</v>
      </c>
      <c r="EP19" s="211">
        <f t="shared" si="63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4"/>
        <v>633</v>
      </c>
      <c r="EX19" s="211">
        <f t="shared" si="65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6"/>
        <v>0</v>
      </c>
      <c r="FF19" s="211">
        <f t="shared" si="67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8"/>
        <v>609</v>
      </c>
      <c r="FN19" s="211">
        <f t="shared" si="69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70"/>
        <v>493</v>
      </c>
      <c r="FV19" s="211">
        <f t="shared" si="71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2"/>
        <v>272</v>
      </c>
      <c r="GD19" s="211">
        <f t="shared" si="73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4"/>
        <v>285</v>
      </c>
      <c r="GL19" s="211">
        <f t="shared" si="75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6"/>
        <v>865</v>
      </c>
      <c r="GT19" s="873">
        <f t="shared" si="77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8"/>
        <v>502</v>
      </c>
      <c r="HB19" s="873">
        <f t="shared" si="79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80"/>
        <v>275</v>
      </c>
      <c r="HJ19" s="873">
        <f t="shared" si="81"/>
        <v>45.833333333333336</v>
      </c>
      <c r="HK19" s="346">
        <v>0</v>
      </c>
      <c r="HL19" s="343">
        <v>0</v>
      </c>
      <c r="HM19" s="343">
        <v>0</v>
      </c>
      <c r="HN19" s="343">
        <v>587</v>
      </c>
      <c r="HO19" s="343">
        <v>0</v>
      </c>
      <c r="HP19" s="343">
        <v>0</v>
      </c>
      <c r="HQ19" s="872">
        <f t="shared" si="82"/>
        <v>587</v>
      </c>
      <c r="HR19" s="873">
        <f t="shared" si="83"/>
        <v>97.833333333333329</v>
      </c>
      <c r="HS19" s="346">
        <v>0</v>
      </c>
      <c r="HT19" s="343">
        <v>0</v>
      </c>
      <c r="HU19" s="343"/>
      <c r="HV19" s="343"/>
      <c r="HW19" s="343"/>
      <c r="HX19" s="343"/>
      <c r="HY19" s="872">
        <f t="shared" si="84"/>
        <v>0</v>
      </c>
      <c r="HZ19" s="873">
        <f t="shared" si="85"/>
        <v>0</v>
      </c>
    </row>
    <row r="20" spans="1:234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0</v>
      </c>
      <c r="K20" s="24"/>
      <c r="L20" s="24">
        <f t="shared" si="87"/>
        <v>1874</v>
      </c>
      <c r="M20" s="15">
        <f t="shared" si="27"/>
        <v>1874</v>
      </c>
      <c r="N20" s="15">
        <v>102.83333333333333</v>
      </c>
      <c r="O20" s="276">
        <f t="shared" si="28"/>
        <v>18.223662884927066</v>
      </c>
      <c r="P20" s="15">
        <v>158.66666666666666</v>
      </c>
      <c r="Q20" s="711">
        <f t="shared" si="29"/>
        <v>426.66666666666669</v>
      </c>
      <c r="R20" s="276">
        <f t="shared" si="30"/>
        <v>70.865546218487395</v>
      </c>
      <c r="S20" s="712">
        <f t="shared" si="31"/>
        <v>98.461538461538467</v>
      </c>
      <c r="T20" s="713">
        <v>2560</v>
      </c>
      <c r="U20" s="276">
        <f t="shared" si="32"/>
        <v>19.032812499999999</v>
      </c>
      <c r="V20" s="278"/>
      <c r="W20" s="276">
        <f t="shared" si="33"/>
        <v>19.032812499999999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4"/>
        <v>0</v>
      </c>
      <c r="AH20" s="211">
        <f t="shared" si="35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6"/>
        <v>615</v>
      </c>
      <c r="AP20" s="809">
        <f t="shared" si="37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8"/>
        <v>610</v>
      </c>
      <c r="AX20" s="211">
        <f t="shared" si="39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40"/>
        <v>628</v>
      </c>
      <c r="BF20" s="211">
        <f t="shared" si="41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2"/>
        <v>0</v>
      </c>
      <c r="BN20" s="211">
        <f t="shared" si="43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4"/>
        <v>917</v>
      </c>
      <c r="BV20" s="211">
        <f t="shared" si="45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6"/>
        <v>609</v>
      </c>
      <c r="CD20" s="211">
        <f t="shared" si="47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8"/>
        <v>582</v>
      </c>
      <c r="CL20" s="211">
        <f t="shared" si="49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50"/>
        <v>220</v>
      </c>
      <c r="CT20" s="211">
        <f t="shared" si="51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2"/>
        <v>1341</v>
      </c>
      <c r="DB20" s="211">
        <f t="shared" si="53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4"/>
        <v>0</v>
      </c>
      <c r="DJ20" s="211">
        <f t="shared" si="55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6"/>
        <v>621</v>
      </c>
      <c r="DR20" s="211">
        <f t="shared" si="57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8"/>
        <v>617</v>
      </c>
      <c r="DZ20" s="211">
        <f t="shared" si="59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60"/>
        <v>0</v>
      </c>
      <c r="EH20" s="211">
        <f t="shared" si="61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2"/>
        <v>582</v>
      </c>
      <c r="EP20" s="211">
        <f t="shared" si="63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4"/>
        <v>630</v>
      </c>
      <c r="EX20" s="211">
        <f t="shared" si="65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6"/>
        <v>949</v>
      </c>
      <c r="FF20" s="211">
        <f t="shared" si="67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8"/>
        <v>0</v>
      </c>
      <c r="FN20" s="211">
        <f t="shared" si="69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70"/>
        <v>1207</v>
      </c>
      <c r="FV20" s="211">
        <f t="shared" si="71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2"/>
        <v>0</v>
      </c>
      <c r="GD20" s="211">
        <f t="shared" si="73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4"/>
        <v>599</v>
      </c>
      <c r="GL20" s="211">
        <f t="shared" si="75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6"/>
        <v>612</v>
      </c>
      <c r="GT20" s="873">
        <f t="shared" si="77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8"/>
        <v>607</v>
      </c>
      <c r="HB20" s="873">
        <f t="shared" si="79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80"/>
        <v>0</v>
      </c>
      <c r="HJ20" s="873">
        <f t="shared" si="81"/>
        <v>0</v>
      </c>
      <c r="HK20" s="346">
        <v>617</v>
      </c>
      <c r="HL20" s="343">
        <v>0</v>
      </c>
      <c r="HM20" s="343">
        <v>0</v>
      </c>
      <c r="HN20" s="343">
        <v>0</v>
      </c>
      <c r="HO20" s="343">
        <v>0</v>
      </c>
      <c r="HP20" s="343">
        <v>0</v>
      </c>
      <c r="HQ20" s="872">
        <f t="shared" si="82"/>
        <v>617</v>
      </c>
      <c r="HR20" s="873">
        <f t="shared" si="83"/>
        <v>102.83333333333333</v>
      </c>
      <c r="HS20" s="346">
        <v>0</v>
      </c>
      <c r="HT20" s="343">
        <v>0</v>
      </c>
      <c r="HU20" s="343"/>
      <c r="HV20" s="343"/>
      <c r="HW20" s="343"/>
      <c r="HX20" s="343"/>
      <c r="HY20" s="872">
        <f t="shared" si="84"/>
        <v>0</v>
      </c>
      <c r="HZ20" s="873">
        <f t="shared" si="85"/>
        <v>0</v>
      </c>
    </row>
    <row r="21" spans="1:234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1137</v>
      </c>
      <c r="G21" s="24"/>
      <c r="H21" s="24"/>
      <c r="I21" s="360"/>
      <c r="J21" s="360">
        <f>SUMIF(SUMPK!$B:$B,$B:$B,SUMPK!$O:$O)</f>
        <v>0</v>
      </c>
      <c r="K21" s="24"/>
      <c r="L21" s="24">
        <f t="shared" si="86"/>
        <v>1137</v>
      </c>
      <c r="M21" s="15">
        <f t="shared" si="27"/>
        <v>1137</v>
      </c>
      <c r="N21" s="15">
        <v>0</v>
      </c>
      <c r="O21" s="276">
        <f t="shared" si="28"/>
        <v>0</v>
      </c>
      <c r="P21" s="15">
        <v>0</v>
      </c>
      <c r="Q21" s="711">
        <f>T21/$Q$8</f>
        <v>213.33333333333334</v>
      </c>
      <c r="R21" s="276">
        <f t="shared" si="30"/>
        <v>0</v>
      </c>
      <c r="S21" s="712">
        <f t="shared" si="31"/>
        <v>49.230769230769234</v>
      </c>
      <c r="T21" s="713">
        <v>1280</v>
      </c>
      <c r="U21" s="276">
        <f t="shared" si="32"/>
        <v>23.095312499999999</v>
      </c>
      <c r="V21" s="278"/>
      <c r="W21" s="276">
        <f t="shared" si="33"/>
        <v>23.095312499999999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4"/>
        <v>0</v>
      </c>
      <c r="AH21" s="211">
        <f t="shared" si="35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6"/>
        <v>0</v>
      </c>
      <c r="AP21" s="809">
        <f t="shared" si="37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8"/>
        <v>339</v>
      </c>
      <c r="AX21" s="211">
        <f t="shared" si="39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40"/>
        <v>331</v>
      </c>
      <c r="BF21" s="211">
        <f t="shared" si="41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2"/>
        <v>332</v>
      </c>
      <c r="BN21" s="211">
        <f t="shared" si="43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4"/>
        <v>0</v>
      </c>
      <c r="BV21" s="211">
        <f t="shared" si="45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6"/>
        <v>306</v>
      </c>
      <c r="CD21" s="211">
        <f t="shared" si="47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8"/>
        <v>291</v>
      </c>
      <c r="CL21" s="211">
        <f t="shared" si="49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50"/>
        <v>220</v>
      </c>
      <c r="CT21" s="211">
        <f t="shared" si="51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2"/>
        <v>0</v>
      </c>
      <c r="DB21" s="211">
        <f t="shared" si="53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4"/>
        <v>841</v>
      </c>
      <c r="DJ21" s="211">
        <f t="shared" si="55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6"/>
        <v>307</v>
      </c>
      <c r="DR21" s="211">
        <f t="shared" si="57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8"/>
        <v>344</v>
      </c>
      <c r="DZ21" s="211">
        <f t="shared" si="59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60"/>
        <v>0</v>
      </c>
      <c r="EH21" s="211">
        <f t="shared" si="61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2"/>
        <v>336</v>
      </c>
      <c r="EP21" s="211">
        <f t="shared" si="63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4"/>
        <v>0</v>
      </c>
      <c r="EX21" s="211">
        <f t="shared" si="65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6"/>
        <v>219</v>
      </c>
      <c r="FF21" s="211">
        <f t="shared" si="67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8"/>
        <v>0</v>
      </c>
      <c r="FN21" s="211">
        <f t="shared" si="69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70"/>
        <v>345</v>
      </c>
      <c r="FV21" s="211">
        <f t="shared" si="71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2"/>
        <v>0</v>
      </c>
      <c r="GD21" s="211">
        <f t="shared" si="73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4"/>
        <v>335</v>
      </c>
      <c r="GL21" s="211">
        <f t="shared" si="75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6"/>
        <v>301</v>
      </c>
      <c r="GT21" s="873">
        <f t="shared" si="77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8"/>
        <v>350</v>
      </c>
      <c r="HB21" s="873">
        <f t="shared" si="79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80"/>
        <v>668</v>
      </c>
      <c r="HJ21" s="873">
        <f t="shared" si="81"/>
        <v>111.33333333333333</v>
      </c>
      <c r="HK21" s="346">
        <v>0</v>
      </c>
      <c r="HL21" s="343">
        <v>0</v>
      </c>
      <c r="HM21" s="343">
        <v>0</v>
      </c>
      <c r="HN21" s="343">
        <v>0</v>
      </c>
      <c r="HO21" s="343">
        <v>0</v>
      </c>
      <c r="HP21" s="343">
        <v>0</v>
      </c>
      <c r="HQ21" s="872">
        <f t="shared" si="82"/>
        <v>0</v>
      </c>
      <c r="HR21" s="873">
        <f t="shared" si="83"/>
        <v>0</v>
      </c>
      <c r="HS21" s="346">
        <v>0</v>
      </c>
      <c r="HT21" s="343">
        <v>276</v>
      </c>
      <c r="HU21" s="343"/>
      <c r="HV21" s="343"/>
      <c r="HW21" s="343"/>
      <c r="HX21" s="343"/>
      <c r="HY21" s="872">
        <f t="shared" si="84"/>
        <v>276</v>
      </c>
      <c r="HZ21" s="873">
        <f t="shared" si="85"/>
        <v>46</v>
      </c>
    </row>
    <row r="22" spans="1:234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8016</v>
      </c>
      <c r="G22" s="24"/>
      <c r="H22" s="24">
        <v>4869</v>
      </c>
      <c r="I22" s="360"/>
      <c r="J22" s="360">
        <f>SUMIF(SUMPK!$B:$B,$B:$B,SUMPK!$O:$O)</f>
        <v>2640</v>
      </c>
      <c r="K22" s="24"/>
      <c r="L22" s="24">
        <f t="shared" si="86"/>
        <v>10245</v>
      </c>
      <c r="M22" s="15">
        <f t="shared" si="27"/>
        <v>10245</v>
      </c>
      <c r="N22" s="15">
        <v>800.83333333333337</v>
      </c>
      <c r="O22" s="276">
        <f t="shared" si="28"/>
        <v>12.792924037460978</v>
      </c>
      <c r="P22" s="15">
        <v>1190.1666666666667</v>
      </c>
      <c r="Q22" s="711">
        <f>T22/$Q$8</f>
        <v>5066.666666666667</v>
      </c>
      <c r="R22" s="276">
        <f t="shared" si="30"/>
        <v>51.648228539420245</v>
      </c>
      <c r="S22" s="712">
        <f t="shared" si="31"/>
        <v>1169.2307692307693</v>
      </c>
      <c r="T22" s="713">
        <v>30400</v>
      </c>
      <c r="U22" s="276">
        <f t="shared" ref="U22:U70" si="92">IF(S22=0,0,M22/S22)</f>
        <v>8.7621710526315777</v>
      </c>
      <c r="V22" s="278"/>
      <c r="W22" s="276">
        <f t="shared" si="33"/>
        <v>8.7621710526315777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4"/>
        <v>4626</v>
      </c>
      <c r="AH22" s="211">
        <f t="shared" si="35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6"/>
        <v>5538</v>
      </c>
      <c r="AP22" s="809">
        <f t="shared" si="37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8"/>
        <v>3891</v>
      </c>
      <c r="AX22" s="211">
        <f t="shared" si="39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40"/>
        <v>9594</v>
      </c>
      <c r="BF22" s="211">
        <f t="shared" si="41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2"/>
        <v>5002</v>
      </c>
      <c r="BN22" s="211">
        <f t="shared" si="43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4"/>
        <v>10762</v>
      </c>
      <c r="BV22" s="211">
        <f t="shared" si="45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6"/>
        <v>2495</v>
      </c>
      <c r="CD22" s="211">
        <f t="shared" si="47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8"/>
        <v>9711</v>
      </c>
      <c r="CL22" s="211">
        <f t="shared" si="49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50"/>
        <v>8570</v>
      </c>
      <c r="CT22" s="211">
        <f t="shared" si="51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2"/>
        <v>8416</v>
      </c>
      <c r="DB22" s="211">
        <f t="shared" si="53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4"/>
        <v>6590</v>
      </c>
      <c r="DJ22" s="211">
        <f t="shared" si="55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6"/>
        <v>2200</v>
      </c>
      <c r="DR22" s="211">
        <f t="shared" si="57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8"/>
        <v>10957</v>
      </c>
      <c r="DZ22" s="211">
        <f t="shared" si="59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60"/>
        <v>7793</v>
      </c>
      <c r="EH22" s="211">
        <f t="shared" si="61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2"/>
        <v>6972</v>
      </c>
      <c r="EP22" s="211">
        <f t="shared" si="63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4"/>
        <v>6856</v>
      </c>
      <c r="EX22" s="211">
        <f t="shared" si="65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6"/>
        <v>12031</v>
      </c>
      <c r="FF22" s="211">
        <f t="shared" si="67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8"/>
        <v>330</v>
      </c>
      <c r="FN22" s="211">
        <f t="shared" si="69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70"/>
        <v>7444</v>
      </c>
      <c r="FV22" s="211">
        <f t="shared" si="71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2"/>
        <v>9521</v>
      </c>
      <c r="GD22" s="211">
        <f t="shared" si="73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4"/>
        <v>11049</v>
      </c>
      <c r="GL22" s="211">
        <f t="shared" si="75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6"/>
        <v>4387</v>
      </c>
      <c r="GT22" s="873">
        <f t="shared" si="77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8"/>
        <v>4050</v>
      </c>
      <c r="HB22" s="873">
        <f t="shared" si="79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80"/>
        <v>7272</v>
      </c>
      <c r="HJ22" s="873">
        <f t="shared" si="81"/>
        <v>1212</v>
      </c>
      <c r="HK22" s="346">
        <v>3133</v>
      </c>
      <c r="HL22" s="343">
        <v>0</v>
      </c>
      <c r="HM22" s="343">
        <v>1672</v>
      </c>
      <c r="HN22" s="343">
        <v>0</v>
      </c>
      <c r="HO22" s="343">
        <v>0</v>
      </c>
      <c r="HP22" s="343">
        <v>0</v>
      </c>
      <c r="HQ22" s="872">
        <f t="shared" si="82"/>
        <v>4805</v>
      </c>
      <c r="HR22" s="873">
        <f t="shared" si="83"/>
        <v>800.83333333333337</v>
      </c>
      <c r="HS22" s="346">
        <v>2930</v>
      </c>
      <c r="HT22" s="343">
        <v>454</v>
      </c>
      <c r="HU22" s="343"/>
      <c r="HV22" s="343"/>
      <c r="HW22" s="343"/>
      <c r="HX22" s="343"/>
      <c r="HY22" s="872">
        <f t="shared" si="84"/>
        <v>3384</v>
      </c>
      <c r="HZ22" s="873">
        <f t="shared" si="85"/>
        <v>564</v>
      </c>
    </row>
    <row r="23" spans="1:234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352</v>
      </c>
      <c r="G23" s="24"/>
      <c r="H23" s="24">
        <v>1962</v>
      </c>
      <c r="I23" s="360"/>
      <c r="J23" s="360">
        <f>SUMIF(SUMPK!$B:$B,$B:$B,SUMPK!$O:$O)</f>
        <v>0</v>
      </c>
      <c r="K23" s="24"/>
      <c r="L23" s="24">
        <f t="shared" si="86"/>
        <v>2314</v>
      </c>
      <c r="M23" s="15">
        <f t="shared" si="27"/>
        <v>2314</v>
      </c>
      <c r="N23" s="15">
        <v>37.5</v>
      </c>
      <c r="O23" s="276">
        <f t="shared" si="28"/>
        <v>61.706666666666663</v>
      </c>
      <c r="P23" s="15">
        <v>40.666666666666664</v>
      </c>
      <c r="Q23" s="711">
        <f t="shared" si="29"/>
        <v>213.33333333333334</v>
      </c>
      <c r="R23" s="276">
        <f t="shared" si="30"/>
        <v>341.40983606557381</v>
      </c>
      <c r="S23" s="712">
        <f t="shared" si="31"/>
        <v>49.230769230769234</v>
      </c>
      <c r="T23" s="713">
        <v>1280</v>
      </c>
      <c r="U23" s="276">
        <f t="shared" si="92"/>
        <v>47.003124999999997</v>
      </c>
      <c r="V23" s="278"/>
      <c r="W23" s="276">
        <f t="shared" si="33"/>
        <v>47.003124999999997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4"/>
        <v>0</v>
      </c>
      <c r="AH23" s="211">
        <f t="shared" si="35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6"/>
        <v>278</v>
      </c>
      <c r="AP23" s="809">
        <f t="shared" si="37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8"/>
        <v>296</v>
      </c>
      <c r="AX23" s="211">
        <f t="shared" si="39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40"/>
        <v>333</v>
      </c>
      <c r="BF23" s="211">
        <f t="shared" si="41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2"/>
        <v>249</v>
      </c>
      <c r="BN23" s="211">
        <f t="shared" si="43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4"/>
        <v>334</v>
      </c>
      <c r="BV23" s="211">
        <f t="shared" si="45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6"/>
        <v>340</v>
      </c>
      <c r="CD23" s="211">
        <f t="shared" si="47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8"/>
        <v>305</v>
      </c>
      <c r="CL23" s="211">
        <f t="shared" si="49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50"/>
        <v>0</v>
      </c>
      <c r="CT23" s="211">
        <f t="shared" si="51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2"/>
        <v>562</v>
      </c>
      <c r="DB23" s="211">
        <f t="shared" si="53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4"/>
        <v>343</v>
      </c>
      <c r="DJ23" s="211">
        <f t="shared" si="55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6"/>
        <v>351</v>
      </c>
      <c r="DR23" s="211">
        <f t="shared" si="57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8"/>
        <v>309</v>
      </c>
      <c r="DZ23" s="211">
        <f t="shared" si="59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60"/>
        <v>340</v>
      </c>
      <c r="EH23" s="211">
        <f t="shared" si="61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2"/>
        <v>340</v>
      </c>
      <c r="EP23" s="211">
        <f t="shared" si="63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4"/>
        <v>0</v>
      </c>
      <c r="EX23" s="211">
        <f t="shared" si="65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6"/>
        <v>294</v>
      </c>
      <c r="FF23" s="211">
        <f t="shared" si="67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8"/>
        <v>307</v>
      </c>
      <c r="FN23" s="211">
        <f t="shared" si="69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70"/>
        <v>304</v>
      </c>
      <c r="FV23" s="211">
        <f t="shared" si="71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2"/>
        <v>557</v>
      </c>
      <c r="GD23" s="211">
        <f t="shared" si="73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4"/>
        <v>337</v>
      </c>
      <c r="GL23" s="211">
        <f t="shared" si="75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6"/>
        <v>323</v>
      </c>
      <c r="GT23" s="873">
        <f t="shared" si="77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8"/>
        <v>253</v>
      </c>
      <c r="HB23" s="873">
        <f t="shared" si="79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80"/>
        <v>245</v>
      </c>
      <c r="HJ23" s="873">
        <f t="shared" si="81"/>
        <v>40.833333333333336</v>
      </c>
      <c r="HK23" s="346">
        <v>0</v>
      </c>
      <c r="HL23" s="343">
        <v>0</v>
      </c>
      <c r="HM23" s="343">
        <v>0</v>
      </c>
      <c r="HN23" s="343">
        <v>0</v>
      </c>
      <c r="HO23" s="343">
        <v>0</v>
      </c>
      <c r="HP23" s="343">
        <v>225</v>
      </c>
      <c r="HQ23" s="872">
        <f t="shared" si="82"/>
        <v>225</v>
      </c>
      <c r="HR23" s="873">
        <f t="shared" si="83"/>
        <v>37.5</v>
      </c>
      <c r="HS23" s="346">
        <v>0</v>
      </c>
      <c r="HT23" s="343">
        <v>261</v>
      </c>
      <c r="HU23" s="343"/>
      <c r="HV23" s="343"/>
      <c r="HW23" s="343"/>
      <c r="HX23" s="343"/>
      <c r="HY23" s="872">
        <f t="shared" si="84"/>
        <v>261</v>
      </c>
      <c r="HZ23" s="873">
        <f t="shared" si="85"/>
        <v>43.5</v>
      </c>
    </row>
    <row r="24" spans="1:234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3133</v>
      </c>
      <c r="G24" s="24"/>
      <c r="H24" s="24"/>
      <c r="I24" s="360"/>
      <c r="J24" s="360">
        <f>SUMIF(SUMPK!$B:$B,$B:$B,SUMPK!$O:$O)</f>
        <v>0</v>
      </c>
      <c r="K24" s="24"/>
      <c r="L24" s="24">
        <f t="shared" si="86"/>
        <v>3133</v>
      </c>
      <c r="M24" s="15">
        <f t="shared" si="27"/>
        <v>3133</v>
      </c>
      <c r="N24" s="15">
        <v>218.66666666666666</v>
      </c>
      <c r="O24" s="276">
        <f t="shared" si="28"/>
        <v>14.327743902439025</v>
      </c>
      <c r="P24" s="15">
        <v>330.33333333333331</v>
      </c>
      <c r="Q24" s="711">
        <f t="shared" si="29"/>
        <v>1066.6666666666667</v>
      </c>
      <c r="R24" s="276">
        <f t="shared" si="30"/>
        <v>56.906155398587288</v>
      </c>
      <c r="S24" s="712">
        <f t="shared" si="31"/>
        <v>246.15384615384616</v>
      </c>
      <c r="T24" s="713">
        <v>6400</v>
      </c>
      <c r="U24" s="276">
        <f t="shared" si="92"/>
        <v>12.727812499999999</v>
      </c>
      <c r="V24" s="278"/>
      <c r="W24" s="276">
        <f t="shared" si="33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4"/>
        <v>2102</v>
      </c>
      <c r="AH24" s="211">
        <f t="shared" si="35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6"/>
        <v>1932</v>
      </c>
      <c r="AP24" s="809">
        <f t="shared" si="37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8"/>
        <v>1307</v>
      </c>
      <c r="AX24" s="211">
        <f t="shared" si="39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40"/>
        <v>873</v>
      </c>
      <c r="BF24" s="211">
        <f t="shared" si="41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2"/>
        <v>1877</v>
      </c>
      <c r="BN24" s="211">
        <f t="shared" si="43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4"/>
        <v>987</v>
      </c>
      <c r="BV24" s="211">
        <f t="shared" si="45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6"/>
        <v>2686</v>
      </c>
      <c r="CD24" s="211">
        <f t="shared" si="47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8"/>
        <v>3695</v>
      </c>
      <c r="CL24" s="211">
        <f t="shared" si="49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50"/>
        <v>149</v>
      </c>
      <c r="CT24" s="211">
        <f t="shared" si="51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2"/>
        <v>4507</v>
      </c>
      <c r="DB24" s="211">
        <f t="shared" si="53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4"/>
        <v>145</v>
      </c>
      <c r="DJ24" s="211">
        <f t="shared" si="55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6"/>
        <v>1523</v>
      </c>
      <c r="DR24" s="211">
        <f t="shared" si="57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8"/>
        <v>1669</v>
      </c>
      <c r="DZ24" s="211">
        <f t="shared" si="59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60"/>
        <v>1336</v>
      </c>
      <c r="EH24" s="211">
        <f t="shared" si="61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2"/>
        <v>1344</v>
      </c>
      <c r="EP24" s="211">
        <f t="shared" si="63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4"/>
        <v>1035</v>
      </c>
      <c r="EX24" s="211">
        <f t="shared" si="65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6"/>
        <v>2371</v>
      </c>
      <c r="FF24" s="211">
        <f t="shared" si="67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8"/>
        <v>2494</v>
      </c>
      <c r="FN24" s="211">
        <f t="shared" si="69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70"/>
        <v>110</v>
      </c>
      <c r="FV24" s="211">
        <f t="shared" si="71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2"/>
        <v>2585</v>
      </c>
      <c r="GD24" s="211">
        <f t="shared" si="73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4"/>
        <v>1742</v>
      </c>
      <c r="GL24" s="211">
        <f t="shared" si="75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6"/>
        <v>0</v>
      </c>
      <c r="GT24" s="873">
        <f t="shared" si="77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8"/>
        <v>2299</v>
      </c>
      <c r="HB24" s="873">
        <f t="shared" si="79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80"/>
        <v>646</v>
      </c>
      <c r="HJ24" s="873">
        <f t="shared" si="81"/>
        <v>107.66666666666667</v>
      </c>
      <c r="HK24" s="346">
        <v>0</v>
      </c>
      <c r="HL24" s="343">
        <v>0</v>
      </c>
      <c r="HM24" s="343">
        <v>1312</v>
      </c>
      <c r="HN24" s="343">
        <v>0</v>
      </c>
      <c r="HO24" s="343">
        <v>0</v>
      </c>
      <c r="HP24" s="343">
        <v>0</v>
      </c>
      <c r="HQ24" s="872">
        <f t="shared" si="82"/>
        <v>1312</v>
      </c>
      <c r="HR24" s="873">
        <f t="shared" si="83"/>
        <v>218.66666666666666</v>
      </c>
      <c r="HS24" s="346">
        <v>0</v>
      </c>
      <c r="HT24" s="343">
        <v>0</v>
      </c>
      <c r="HU24" s="343"/>
      <c r="HV24" s="343"/>
      <c r="HW24" s="343"/>
      <c r="HX24" s="343"/>
      <c r="HY24" s="872">
        <f t="shared" si="84"/>
        <v>0</v>
      </c>
      <c r="HZ24" s="873">
        <f t="shared" si="85"/>
        <v>0</v>
      </c>
    </row>
    <row r="25" spans="1:234" s="341" customFormat="1" ht="15" customHeight="1" x14ac:dyDescent="0.2">
      <c r="A25" s="21">
        <v>14</v>
      </c>
      <c r="B25" s="21" t="s">
        <v>341</v>
      </c>
      <c r="C25" s="275" t="s">
        <v>346</v>
      </c>
      <c r="D25" s="21">
        <v>25</v>
      </c>
      <c r="E25" s="24"/>
      <c r="F25" s="24">
        <v>3185</v>
      </c>
      <c r="G25" s="24"/>
      <c r="H25" s="24">
        <v>1890</v>
      </c>
      <c r="I25" s="360"/>
      <c r="J25" s="360">
        <f>SUMIF(SUMPK!$B:$B,$B:$B,SUMPK!$O:$O)</f>
        <v>297</v>
      </c>
      <c r="K25" s="24"/>
      <c r="L25" s="24">
        <f t="shared" ref="L25:L26" si="93">F25+H25-J25</f>
        <v>4778</v>
      </c>
      <c r="M25" s="15">
        <f t="shared" ref="M25:M26" si="94">K25+L25</f>
        <v>4778</v>
      </c>
      <c r="N25" s="15">
        <v>0</v>
      </c>
      <c r="O25" s="276">
        <f t="shared" si="28"/>
        <v>0</v>
      </c>
      <c r="P25" s="15"/>
      <c r="Q25" s="711"/>
      <c r="R25" s="276">
        <f t="shared" si="30"/>
        <v>0</v>
      </c>
      <c r="S25" s="712">
        <f t="shared" si="31"/>
        <v>61.53846153846154</v>
      </c>
      <c r="T25" s="713">
        <v>1600</v>
      </c>
      <c r="U25" s="276">
        <f t="shared" si="92"/>
        <v>77.642499999999998</v>
      </c>
      <c r="V25" s="278"/>
      <c r="W25" s="276">
        <f t="shared" si="33"/>
        <v>77.642499999999998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4"/>
        <v>979</v>
      </c>
      <c r="AH25" s="211">
        <f t="shared" si="35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6"/>
        <v>1030</v>
      </c>
      <c r="AP25" s="809">
        <f t="shared" si="37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8"/>
        <v>0</v>
      </c>
      <c r="AX25" s="211">
        <f t="shared" si="39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40"/>
        <v>0</v>
      </c>
      <c r="BF25" s="211">
        <f t="shared" si="41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2"/>
        <v>1741</v>
      </c>
      <c r="BN25" s="211">
        <f t="shared" si="43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4"/>
        <v>1023</v>
      </c>
      <c r="BV25" s="211">
        <f t="shared" si="45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6"/>
        <v>1000</v>
      </c>
      <c r="CD25" s="211">
        <f t="shared" si="47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8"/>
        <v>1595</v>
      </c>
      <c r="CL25" s="211">
        <f t="shared" si="49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50"/>
        <v>1660</v>
      </c>
      <c r="CT25" s="211">
        <f t="shared" si="51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2"/>
        <v>0</v>
      </c>
      <c r="DB25" s="211">
        <f t="shared" si="53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4"/>
        <v>0</v>
      </c>
      <c r="DJ25" s="211">
        <f t="shared" si="55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6"/>
        <v>0</v>
      </c>
      <c r="DR25" s="211">
        <f t="shared" si="57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8"/>
        <v>0</v>
      </c>
      <c r="DZ25" s="211">
        <f t="shared" si="59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60"/>
        <v>0</v>
      </c>
      <c r="EH25" s="211">
        <f t="shared" si="61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2"/>
        <v>1947</v>
      </c>
      <c r="EP25" s="211">
        <f t="shared" si="63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4"/>
        <v>0</v>
      </c>
      <c r="EX25" s="211">
        <f t="shared" si="65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6"/>
        <v>0</v>
      </c>
      <c r="FF25" s="211">
        <f t="shared" si="67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8"/>
        <v>0</v>
      </c>
      <c r="FN25" s="211">
        <f t="shared" si="69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70"/>
        <v>1326</v>
      </c>
      <c r="FV25" s="211">
        <f t="shared" si="71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2"/>
        <v>0</v>
      </c>
      <c r="GD25" s="211">
        <f t="shared" si="73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4"/>
        <v>2330</v>
      </c>
      <c r="GL25" s="211">
        <f t="shared" si="75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6"/>
        <v>0</v>
      </c>
      <c r="GT25" s="873">
        <f t="shared" si="77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8"/>
        <v>2005</v>
      </c>
      <c r="HB25" s="873">
        <f t="shared" si="79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80"/>
        <v>1004</v>
      </c>
      <c r="HJ25" s="873">
        <f t="shared" si="81"/>
        <v>167.33333333333334</v>
      </c>
      <c r="HK25" s="346">
        <v>0</v>
      </c>
      <c r="HL25" s="343">
        <v>0</v>
      </c>
      <c r="HM25" s="343">
        <v>0</v>
      </c>
      <c r="HN25" s="343">
        <v>0</v>
      </c>
      <c r="HO25" s="343">
        <v>0</v>
      </c>
      <c r="HP25" s="343">
        <v>0</v>
      </c>
      <c r="HQ25" s="872">
        <f t="shared" si="82"/>
        <v>0</v>
      </c>
      <c r="HR25" s="873">
        <f t="shared" si="83"/>
        <v>0</v>
      </c>
      <c r="HS25" s="346">
        <v>0</v>
      </c>
      <c r="HT25" s="343">
        <v>0</v>
      </c>
      <c r="HU25" s="343"/>
      <c r="HV25" s="343"/>
      <c r="HW25" s="343"/>
      <c r="HX25" s="343"/>
      <c r="HY25" s="872">
        <f t="shared" si="84"/>
        <v>0</v>
      </c>
      <c r="HZ25" s="873">
        <f t="shared" si="85"/>
        <v>0</v>
      </c>
    </row>
    <row r="26" spans="1:234" s="341" customFormat="1" ht="15" customHeight="1" x14ac:dyDescent="0.2">
      <c r="A26" s="21">
        <v>15</v>
      </c>
      <c r="B26" s="21" t="s">
        <v>342</v>
      </c>
      <c r="C26" s="275" t="s">
        <v>347</v>
      </c>
      <c r="D26" s="21">
        <v>25</v>
      </c>
      <c r="E26" s="24"/>
      <c r="F26" s="24">
        <v>3666</v>
      </c>
      <c r="G26" s="24"/>
      <c r="H26" s="24"/>
      <c r="I26" s="360"/>
      <c r="J26" s="360">
        <f>SUMIF(SUMPK!$B:$B,$B:$B,SUMPK!$O:$O)</f>
        <v>0</v>
      </c>
      <c r="K26" s="24"/>
      <c r="L26" s="24">
        <f t="shared" si="93"/>
        <v>3666</v>
      </c>
      <c r="M26" s="15">
        <f t="shared" si="94"/>
        <v>3666</v>
      </c>
      <c r="N26" s="15">
        <v>213.83333333333334</v>
      </c>
      <c r="O26" s="276">
        <f t="shared" si="28"/>
        <v>17.14419329696025</v>
      </c>
      <c r="P26" s="15"/>
      <c r="Q26" s="711"/>
      <c r="R26" s="276">
        <f t="shared" si="30"/>
        <v>0</v>
      </c>
      <c r="S26" s="712">
        <f t="shared" si="31"/>
        <v>61.53846153846154</v>
      </c>
      <c r="T26" s="713">
        <v>1600</v>
      </c>
      <c r="U26" s="276">
        <f t="shared" si="92"/>
        <v>59.572499999999998</v>
      </c>
      <c r="V26" s="278"/>
      <c r="W26" s="276">
        <f t="shared" si="33"/>
        <v>59.572499999999998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4"/>
        <v>944</v>
      </c>
      <c r="AH26" s="211">
        <f t="shared" si="35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6"/>
        <v>0</v>
      </c>
      <c r="AP26" s="809">
        <f t="shared" si="37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8"/>
        <v>0</v>
      </c>
      <c r="AX26" s="211">
        <f t="shared" si="39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40"/>
        <v>638</v>
      </c>
      <c r="BF26" s="211">
        <f t="shared" si="41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2"/>
        <v>2248</v>
      </c>
      <c r="BN26" s="211">
        <f t="shared" si="43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4"/>
        <v>1645</v>
      </c>
      <c r="BV26" s="211">
        <f t="shared" si="45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6"/>
        <v>1290</v>
      </c>
      <c r="CD26" s="211">
        <f t="shared" si="47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8"/>
        <v>0</v>
      </c>
      <c r="CL26" s="211">
        <f t="shared" si="49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50"/>
        <v>0</v>
      </c>
      <c r="CT26" s="211">
        <f t="shared" si="51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2"/>
        <v>0</v>
      </c>
      <c r="DB26" s="211">
        <f t="shared" si="53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4"/>
        <v>0</v>
      </c>
      <c r="DJ26" s="211">
        <f t="shared" si="55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6"/>
        <v>2969</v>
      </c>
      <c r="DR26" s="211">
        <f t="shared" si="57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8"/>
        <v>1973</v>
      </c>
      <c r="DZ26" s="211">
        <f t="shared" si="59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60"/>
        <v>0</v>
      </c>
      <c r="EH26" s="211">
        <f t="shared" si="61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2"/>
        <v>1910</v>
      </c>
      <c r="EP26" s="211">
        <f t="shared" si="63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4"/>
        <v>0</v>
      </c>
      <c r="EX26" s="211">
        <f t="shared" si="65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6"/>
        <v>259</v>
      </c>
      <c r="FF26" s="211">
        <f t="shared" si="67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8"/>
        <v>0</v>
      </c>
      <c r="FN26" s="211">
        <f t="shared" si="69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70"/>
        <v>621</v>
      </c>
      <c r="FV26" s="211">
        <f t="shared" si="71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2"/>
        <v>1962</v>
      </c>
      <c r="GD26" s="211">
        <f t="shared" si="73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4"/>
        <v>1536</v>
      </c>
      <c r="GL26" s="211">
        <f t="shared" si="75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6"/>
        <v>0</v>
      </c>
      <c r="GT26" s="873">
        <f t="shared" si="77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8"/>
        <v>2243</v>
      </c>
      <c r="HB26" s="873">
        <f t="shared" si="79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80"/>
        <v>0</v>
      </c>
      <c r="HJ26" s="873">
        <f t="shared" si="81"/>
        <v>0</v>
      </c>
      <c r="HK26" s="346">
        <v>0</v>
      </c>
      <c r="HL26" s="343">
        <v>0</v>
      </c>
      <c r="HM26" s="343">
        <v>0</v>
      </c>
      <c r="HN26" s="343">
        <v>0</v>
      </c>
      <c r="HO26" s="343">
        <v>0</v>
      </c>
      <c r="HP26" s="343">
        <v>1283</v>
      </c>
      <c r="HQ26" s="872">
        <f t="shared" si="82"/>
        <v>1283</v>
      </c>
      <c r="HR26" s="873">
        <f t="shared" si="83"/>
        <v>213.83333333333334</v>
      </c>
      <c r="HS26" s="346">
        <v>0</v>
      </c>
      <c r="HT26" s="343">
        <v>0</v>
      </c>
      <c r="HU26" s="343"/>
      <c r="HV26" s="343"/>
      <c r="HW26" s="343"/>
      <c r="HX26" s="343"/>
      <c r="HY26" s="872">
        <f t="shared" si="84"/>
        <v>0</v>
      </c>
      <c r="HZ26" s="873">
        <f t="shared" si="85"/>
        <v>0</v>
      </c>
    </row>
    <row r="27" spans="1:234" s="341" customFormat="1" ht="15" customHeight="1" x14ac:dyDescent="0.2">
      <c r="A27" s="21">
        <v>16</v>
      </c>
      <c r="B27" s="21" t="s">
        <v>148</v>
      </c>
      <c r="C27" s="275" t="s">
        <v>297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5">F27+H27-J27</f>
        <v>491</v>
      </c>
      <c r="M27" s="15">
        <f t="shared" ref="M27:M36" si="96">K27+L27</f>
        <v>491</v>
      </c>
      <c r="N27" s="15">
        <v>0</v>
      </c>
      <c r="O27" s="276">
        <f t="shared" si="28"/>
        <v>0</v>
      </c>
      <c r="P27" s="15">
        <v>0</v>
      </c>
      <c r="Q27" s="711"/>
      <c r="R27" s="276">
        <f t="shared" si="30"/>
        <v>0</v>
      </c>
      <c r="S27" s="712">
        <f t="shared" si="31"/>
        <v>24.615384615384617</v>
      </c>
      <c r="T27" s="713">
        <v>640</v>
      </c>
      <c r="U27" s="276">
        <f t="shared" si="92"/>
        <v>19.946874999999999</v>
      </c>
      <c r="V27" s="278"/>
      <c r="W27" s="276">
        <f t="shared" si="33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4"/>
        <v>0</v>
      </c>
      <c r="AH27" s="211">
        <f t="shared" si="35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6"/>
        <v>280</v>
      </c>
      <c r="AP27" s="809">
        <f t="shared" si="37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8"/>
        <v>0</v>
      </c>
      <c r="AX27" s="211">
        <f t="shared" si="39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40"/>
        <v>0</v>
      </c>
      <c r="BF27" s="211">
        <f t="shared" si="41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2"/>
        <v>205</v>
      </c>
      <c r="BN27" s="211">
        <f t="shared" si="43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4"/>
        <v>0</v>
      </c>
      <c r="BV27" s="211">
        <f t="shared" si="45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6"/>
        <v>0</v>
      </c>
      <c r="CD27" s="211">
        <f t="shared" si="47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8"/>
        <v>284</v>
      </c>
      <c r="CL27" s="211">
        <f t="shared" si="49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50"/>
        <v>0</v>
      </c>
      <c r="CT27" s="211">
        <f t="shared" si="51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2"/>
        <v>0</v>
      </c>
      <c r="DB27" s="211">
        <f t="shared" si="53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4"/>
        <v>0</v>
      </c>
      <c r="DJ27" s="211">
        <f t="shared" si="55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6"/>
        <v>364</v>
      </c>
      <c r="DR27" s="211">
        <f t="shared" si="57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8"/>
        <v>0</v>
      </c>
      <c r="DZ27" s="211">
        <f t="shared" si="59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60"/>
        <v>0</v>
      </c>
      <c r="EH27" s="211">
        <f t="shared" si="61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2"/>
        <v>0</v>
      </c>
      <c r="EP27" s="211">
        <f t="shared" si="63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4"/>
        <v>0</v>
      </c>
      <c r="EX27" s="211">
        <f t="shared" si="65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6"/>
        <v>0</v>
      </c>
      <c r="FF27" s="211">
        <f t="shared" si="67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8"/>
        <v>0</v>
      </c>
      <c r="FN27" s="211">
        <f t="shared" si="69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70"/>
        <v>0</v>
      </c>
      <c r="FV27" s="211">
        <f t="shared" si="71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2"/>
        <v>0</v>
      </c>
      <c r="GD27" s="211">
        <f t="shared" si="73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4"/>
        <v>246</v>
      </c>
      <c r="GL27" s="211">
        <f t="shared" si="75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6"/>
        <v>0</v>
      </c>
      <c r="GT27" s="873">
        <f t="shared" si="77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8"/>
        <v>0</v>
      </c>
      <c r="HB27" s="873">
        <f t="shared" si="79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80"/>
        <v>0</v>
      </c>
      <c r="HJ27" s="873">
        <f t="shared" si="81"/>
        <v>0</v>
      </c>
      <c r="HK27" s="346">
        <v>0</v>
      </c>
      <c r="HL27" s="343">
        <v>0</v>
      </c>
      <c r="HM27" s="343">
        <v>0</v>
      </c>
      <c r="HN27" s="343">
        <v>0</v>
      </c>
      <c r="HO27" s="343">
        <v>0</v>
      </c>
      <c r="HP27" s="343">
        <v>0</v>
      </c>
      <c r="HQ27" s="872">
        <f t="shared" si="82"/>
        <v>0</v>
      </c>
      <c r="HR27" s="873">
        <f t="shared" si="83"/>
        <v>0</v>
      </c>
      <c r="HS27" s="346">
        <v>0</v>
      </c>
      <c r="HT27" s="343">
        <v>0</v>
      </c>
      <c r="HU27" s="343"/>
      <c r="HV27" s="343"/>
      <c r="HW27" s="343"/>
      <c r="HX27" s="343"/>
      <c r="HY27" s="872">
        <f t="shared" si="84"/>
        <v>0</v>
      </c>
      <c r="HZ27" s="873">
        <f t="shared" si="85"/>
        <v>0</v>
      </c>
    </row>
    <row r="28" spans="1:234" s="341" customFormat="1" ht="15" customHeight="1" x14ac:dyDescent="0.2">
      <c r="A28" s="21">
        <v>17</v>
      </c>
      <c r="B28" s="21" t="s">
        <v>354</v>
      </c>
      <c r="C28" s="275" t="s">
        <v>355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8"/>
        <v>0</v>
      </c>
      <c r="P28" s="15"/>
      <c r="Q28" s="711"/>
      <c r="R28" s="276">
        <f t="shared" si="30"/>
        <v>0</v>
      </c>
      <c r="S28" s="712">
        <f t="shared" si="31"/>
        <v>0</v>
      </c>
      <c r="T28" s="713"/>
      <c r="U28" s="276">
        <f t="shared" si="92"/>
        <v>0</v>
      </c>
      <c r="V28" s="278"/>
      <c r="W28" s="276">
        <f t="shared" si="33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4"/>
        <v>0</v>
      </c>
      <c r="AH28" s="211">
        <f t="shared" si="35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6"/>
        <v>276</v>
      </c>
      <c r="AP28" s="809">
        <f t="shared" si="37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8"/>
        <v>0</v>
      </c>
      <c r="AX28" s="211">
        <f t="shared" si="39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40"/>
        <v>273</v>
      </c>
      <c r="BF28" s="211">
        <f t="shared" si="41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2"/>
        <v>0</v>
      </c>
      <c r="BN28" s="211">
        <f t="shared" si="43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4"/>
        <v>0</v>
      </c>
      <c r="BV28" s="211">
        <f t="shared" si="45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6"/>
        <v>0</v>
      </c>
      <c r="CD28" s="211">
        <f t="shared" si="47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8"/>
        <v>0</v>
      </c>
      <c r="CL28" s="211">
        <f t="shared" si="49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50"/>
        <v>0</v>
      </c>
      <c r="CT28" s="211">
        <f t="shared" si="51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2"/>
        <v>0</v>
      </c>
      <c r="DB28" s="211">
        <f t="shared" si="53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4"/>
        <v>0</v>
      </c>
      <c r="DJ28" s="211">
        <f t="shared" si="55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6"/>
        <v>0</v>
      </c>
      <c r="DR28" s="211">
        <f t="shared" si="57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8"/>
        <v>0</v>
      </c>
      <c r="DZ28" s="211">
        <f t="shared" si="59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60"/>
        <v>0</v>
      </c>
      <c r="EH28" s="211">
        <f t="shared" si="61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2"/>
        <v>0</v>
      </c>
      <c r="EP28" s="211">
        <f t="shared" si="63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4"/>
        <v>0</v>
      </c>
      <c r="EX28" s="211">
        <f t="shared" si="65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6"/>
        <v>0</v>
      </c>
      <c r="FF28" s="211">
        <f t="shared" si="67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8"/>
        <v>0</v>
      </c>
      <c r="FN28" s="211">
        <f t="shared" si="69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70"/>
        <v>0</v>
      </c>
      <c r="FV28" s="211">
        <f t="shared" si="71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2"/>
        <v>0</v>
      </c>
      <c r="GD28" s="211">
        <f t="shared" si="73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4"/>
        <v>0</v>
      </c>
      <c r="GL28" s="211">
        <f t="shared" si="75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6"/>
        <v>0</v>
      </c>
      <c r="GT28" s="873">
        <f t="shared" si="77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8"/>
        <v>0</v>
      </c>
      <c r="HB28" s="873">
        <f t="shared" si="79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80"/>
        <v>0</v>
      </c>
      <c r="HJ28" s="873">
        <f t="shared" si="81"/>
        <v>0</v>
      </c>
      <c r="HK28" s="346">
        <v>0</v>
      </c>
      <c r="HL28" s="343">
        <v>0</v>
      </c>
      <c r="HM28" s="343">
        <v>0</v>
      </c>
      <c r="HN28" s="343">
        <v>0</v>
      </c>
      <c r="HO28" s="343">
        <v>0</v>
      </c>
      <c r="HP28" s="343">
        <v>0</v>
      </c>
      <c r="HQ28" s="872">
        <f t="shared" si="82"/>
        <v>0</v>
      </c>
      <c r="HR28" s="873">
        <f t="shared" si="83"/>
        <v>0</v>
      </c>
      <c r="HS28" s="346">
        <v>0</v>
      </c>
      <c r="HT28" s="343">
        <v>0</v>
      </c>
      <c r="HU28" s="343"/>
      <c r="HV28" s="343"/>
      <c r="HW28" s="343"/>
      <c r="HX28" s="343"/>
      <c r="HY28" s="872">
        <f t="shared" si="84"/>
        <v>0</v>
      </c>
      <c r="HZ28" s="873">
        <f t="shared" si="85"/>
        <v>0</v>
      </c>
    </row>
    <row r="29" spans="1:234" s="341" customFormat="1" ht="15" customHeight="1" x14ac:dyDescent="0.2">
      <c r="A29" s="21">
        <v>18</v>
      </c>
      <c r="B29" s="21" t="s">
        <v>348</v>
      </c>
      <c r="C29" s="275" t="s">
        <v>349</v>
      </c>
      <c r="D29" s="21">
        <v>25</v>
      </c>
      <c r="E29" s="24"/>
      <c r="F29" s="24">
        <v>390</v>
      </c>
      <c r="G29" s="24"/>
      <c r="H29" s="24"/>
      <c r="I29" s="360"/>
      <c r="J29" s="360">
        <f>SUMIF(SUMPK!$B:$B,$B:$B,SUMPK!$O:$O)</f>
        <v>0</v>
      </c>
      <c r="K29" s="24"/>
      <c r="L29" s="24">
        <f t="shared" si="95"/>
        <v>390</v>
      </c>
      <c r="M29" s="15">
        <f t="shared" si="96"/>
        <v>390</v>
      </c>
      <c r="N29" s="15">
        <v>146.16666666666666</v>
      </c>
      <c r="O29" s="276">
        <f t="shared" si="28"/>
        <v>2.6681870011402511</v>
      </c>
      <c r="P29" s="15"/>
      <c r="Q29" s="711"/>
      <c r="R29" s="276">
        <f t="shared" si="30"/>
        <v>0</v>
      </c>
      <c r="S29" s="712">
        <f t="shared" si="31"/>
        <v>0</v>
      </c>
      <c r="T29" s="713"/>
      <c r="U29" s="276">
        <f t="shared" si="92"/>
        <v>0</v>
      </c>
      <c r="V29" s="278"/>
      <c r="W29" s="276">
        <f t="shared" si="33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4"/>
        <v>0</v>
      </c>
      <c r="AH29" s="211">
        <f t="shared" si="35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6"/>
        <v>0</v>
      </c>
      <c r="AP29" s="809">
        <f t="shared" si="37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8"/>
        <v>0</v>
      </c>
      <c r="AX29" s="211">
        <f t="shared" si="39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40"/>
        <v>0</v>
      </c>
      <c r="BF29" s="211">
        <f t="shared" si="41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2"/>
        <v>0</v>
      </c>
      <c r="BN29" s="211">
        <f t="shared" si="43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4"/>
        <v>0</v>
      </c>
      <c r="BV29" s="211">
        <f t="shared" si="45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6"/>
        <v>0</v>
      </c>
      <c r="CD29" s="211">
        <f t="shared" si="47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8"/>
        <v>0</v>
      </c>
      <c r="CL29" s="211">
        <f t="shared" si="49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50"/>
        <v>0</v>
      </c>
      <c r="CT29" s="211">
        <f t="shared" si="51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2"/>
        <v>0</v>
      </c>
      <c r="DB29" s="211">
        <f t="shared" si="53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4"/>
        <v>0</v>
      </c>
      <c r="DJ29" s="211">
        <f t="shared" si="55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6"/>
        <v>0</v>
      </c>
      <c r="DR29" s="211">
        <f t="shared" si="57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8"/>
        <v>0</v>
      </c>
      <c r="DZ29" s="211">
        <f t="shared" si="59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60"/>
        <v>0</v>
      </c>
      <c r="EH29" s="211">
        <f t="shared" si="61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2"/>
        <v>0</v>
      </c>
      <c r="EP29" s="211">
        <f t="shared" si="63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4"/>
        <v>0</v>
      </c>
      <c r="EX29" s="211">
        <f t="shared" si="65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6"/>
        <v>0</v>
      </c>
      <c r="FF29" s="211">
        <f t="shared" si="67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8"/>
        <v>0</v>
      </c>
      <c r="FN29" s="211">
        <f t="shared" si="69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70"/>
        <v>0</v>
      </c>
      <c r="FV29" s="211">
        <f t="shared" si="71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2"/>
        <v>0</v>
      </c>
      <c r="GD29" s="211">
        <f t="shared" si="73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4"/>
        <v>0</v>
      </c>
      <c r="GL29" s="211">
        <f t="shared" si="75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6"/>
        <v>0</v>
      </c>
      <c r="GT29" s="873">
        <f t="shared" si="77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8"/>
        <v>0</v>
      </c>
      <c r="HB29" s="873">
        <f t="shared" si="79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80"/>
        <v>0</v>
      </c>
      <c r="HJ29" s="873">
        <f t="shared" si="81"/>
        <v>0</v>
      </c>
      <c r="HK29" s="346">
        <v>262</v>
      </c>
      <c r="HL29" s="343">
        <v>0</v>
      </c>
      <c r="HM29" s="343">
        <v>0</v>
      </c>
      <c r="HN29" s="343">
        <v>615</v>
      </c>
      <c r="HO29" s="343">
        <v>0</v>
      </c>
      <c r="HP29" s="343">
        <v>0</v>
      </c>
      <c r="HQ29" s="872">
        <f t="shared" si="82"/>
        <v>877</v>
      </c>
      <c r="HR29" s="873">
        <f t="shared" si="83"/>
        <v>146.16666666666666</v>
      </c>
      <c r="HS29" s="346">
        <v>0</v>
      </c>
      <c r="HT29" s="343">
        <v>0</v>
      </c>
      <c r="HU29" s="343"/>
      <c r="HV29" s="343"/>
      <c r="HW29" s="343"/>
      <c r="HX29" s="343"/>
      <c r="HY29" s="872">
        <f t="shared" si="84"/>
        <v>0</v>
      </c>
      <c r="HZ29" s="873">
        <f t="shared" si="85"/>
        <v>0</v>
      </c>
    </row>
    <row r="30" spans="1:234" s="341" customFormat="1" ht="15" customHeight="1" x14ac:dyDescent="0.2">
      <c r="A30" s="21">
        <v>19</v>
      </c>
      <c r="B30" s="714" t="s">
        <v>320</v>
      </c>
      <c r="C30" s="275" t="s">
        <v>321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5"/>
        <v>1274</v>
      </c>
      <c r="M30" s="15">
        <f t="shared" si="96"/>
        <v>1274</v>
      </c>
      <c r="N30" s="15">
        <v>0</v>
      </c>
      <c r="O30" s="276">
        <f t="shared" si="28"/>
        <v>0</v>
      </c>
      <c r="P30" s="15">
        <v>12.666666666666666</v>
      </c>
      <c r="Q30" s="711">
        <f t="shared" si="29"/>
        <v>106.66666666666667</v>
      </c>
      <c r="R30" s="276">
        <f t="shared" si="30"/>
        <v>603.47368421052636</v>
      </c>
      <c r="S30" s="712">
        <f t="shared" si="31"/>
        <v>24.615384615384617</v>
      </c>
      <c r="T30" s="713">
        <v>640</v>
      </c>
      <c r="U30" s="276">
        <f t="shared" si="92"/>
        <v>51.756249999999994</v>
      </c>
      <c r="V30" s="278"/>
      <c r="W30" s="276">
        <f t="shared" si="33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4"/>
        <v>307</v>
      </c>
      <c r="AH30" s="211">
        <f t="shared" si="35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6"/>
        <v>327</v>
      </c>
      <c r="AP30" s="809">
        <f t="shared" si="37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8"/>
        <v>0</v>
      </c>
      <c r="AX30" s="211">
        <f t="shared" si="39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40"/>
        <v>0</v>
      </c>
      <c r="BF30" s="211">
        <f t="shared" si="41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2"/>
        <v>0</v>
      </c>
      <c r="BN30" s="211">
        <f t="shared" si="43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4"/>
        <v>0</v>
      </c>
      <c r="BV30" s="211">
        <f t="shared" si="45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6"/>
        <v>0</v>
      </c>
      <c r="CD30" s="211">
        <f t="shared" si="47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8"/>
        <v>297</v>
      </c>
      <c r="CL30" s="211">
        <f t="shared" si="49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50"/>
        <v>0</v>
      </c>
      <c r="CT30" s="211">
        <f t="shared" si="51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2"/>
        <v>333</v>
      </c>
      <c r="DB30" s="211">
        <f t="shared" si="53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4"/>
        <v>333</v>
      </c>
      <c r="DJ30" s="211">
        <f t="shared" si="55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6"/>
        <v>333</v>
      </c>
      <c r="DR30" s="211">
        <f t="shared" si="57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8"/>
        <v>0</v>
      </c>
      <c r="DZ30" s="211">
        <f t="shared" si="59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60"/>
        <v>364</v>
      </c>
      <c r="EH30" s="211">
        <f t="shared" si="61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2"/>
        <v>344</v>
      </c>
      <c r="EP30" s="211">
        <f t="shared" si="63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4"/>
        <v>0</v>
      </c>
      <c r="EX30" s="211">
        <f t="shared" si="65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6"/>
        <v>0</v>
      </c>
      <c r="FF30" s="211">
        <f t="shared" si="67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8"/>
        <v>0</v>
      </c>
      <c r="FN30" s="211">
        <f t="shared" si="69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70"/>
        <v>247</v>
      </c>
      <c r="FV30" s="211">
        <f t="shared" si="71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2"/>
        <v>0</v>
      </c>
      <c r="GD30" s="211">
        <f t="shared" si="73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4"/>
        <v>0</v>
      </c>
      <c r="GL30" s="211">
        <f t="shared" si="75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6"/>
        <v>0</v>
      </c>
      <c r="GT30" s="873">
        <f t="shared" si="77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8"/>
        <v>0</v>
      </c>
      <c r="HB30" s="873">
        <f t="shared" si="79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80"/>
        <v>0</v>
      </c>
      <c r="HJ30" s="873">
        <f t="shared" si="81"/>
        <v>0</v>
      </c>
      <c r="HK30" s="346">
        <v>0</v>
      </c>
      <c r="HL30" s="343">
        <v>0</v>
      </c>
      <c r="HM30" s="343">
        <v>0</v>
      </c>
      <c r="HN30" s="343">
        <v>0</v>
      </c>
      <c r="HO30" s="343">
        <v>0</v>
      </c>
      <c r="HP30" s="343">
        <v>0</v>
      </c>
      <c r="HQ30" s="872">
        <f t="shared" si="82"/>
        <v>0</v>
      </c>
      <c r="HR30" s="873">
        <f t="shared" si="83"/>
        <v>0</v>
      </c>
      <c r="HS30" s="346">
        <v>0</v>
      </c>
      <c r="HT30" s="343">
        <v>0</v>
      </c>
      <c r="HU30" s="343"/>
      <c r="HV30" s="343"/>
      <c r="HW30" s="343"/>
      <c r="HX30" s="343"/>
      <c r="HY30" s="872">
        <f t="shared" si="84"/>
        <v>0</v>
      </c>
      <c r="HZ30" s="873">
        <f t="shared" si="85"/>
        <v>0</v>
      </c>
    </row>
    <row r="31" spans="1:234" s="341" customFormat="1" ht="15" customHeight="1" x14ac:dyDescent="0.2">
      <c r="A31" s="21">
        <v>20</v>
      </c>
      <c r="B31" s="714" t="s">
        <v>356</v>
      </c>
      <c r="C31" s="275" t="s">
        <v>357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5"/>
        <v>2952</v>
      </c>
      <c r="M31" s="15">
        <f t="shared" si="96"/>
        <v>2952</v>
      </c>
      <c r="N31" s="15">
        <v>0</v>
      </c>
      <c r="O31" s="276">
        <f t="shared" si="28"/>
        <v>0</v>
      </c>
      <c r="P31" s="15"/>
      <c r="Q31" s="711"/>
      <c r="R31" s="276">
        <f t="shared" si="30"/>
        <v>0</v>
      </c>
      <c r="S31" s="712">
        <f t="shared" si="31"/>
        <v>0</v>
      </c>
      <c r="T31" s="713"/>
      <c r="U31" s="276">
        <f t="shared" si="92"/>
        <v>0</v>
      </c>
      <c r="V31" s="278"/>
      <c r="W31" s="276">
        <f t="shared" si="33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4"/>
        <v>0</v>
      </c>
      <c r="AH31" s="211">
        <f t="shared" si="35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6"/>
        <v>0</v>
      </c>
      <c r="AP31" s="809">
        <f t="shared" si="37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8"/>
        <v>0</v>
      </c>
      <c r="AX31" s="211">
        <f t="shared" si="39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40"/>
        <v>0</v>
      </c>
      <c r="BF31" s="211">
        <f t="shared" si="41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2"/>
        <v>0</v>
      </c>
      <c r="BN31" s="211">
        <f t="shared" si="43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4"/>
        <v>350</v>
      </c>
      <c r="BV31" s="211">
        <f t="shared" si="45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6"/>
        <v>0</v>
      </c>
      <c r="CD31" s="211">
        <f t="shared" si="47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8"/>
        <v>640</v>
      </c>
      <c r="CL31" s="211">
        <f t="shared" si="49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50"/>
        <v>0</v>
      </c>
      <c r="CT31" s="211">
        <f t="shared" si="51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2"/>
        <v>327</v>
      </c>
      <c r="DB31" s="211">
        <f t="shared" si="53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4"/>
        <v>337</v>
      </c>
      <c r="DJ31" s="211">
        <f t="shared" si="55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6"/>
        <v>1037</v>
      </c>
      <c r="DR31" s="211">
        <f t="shared" si="57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8"/>
        <v>311</v>
      </c>
      <c r="DZ31" s="211">
        <f t="shared" si="59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60"/>
        <v>251</v>
      </c>
      <c r="EH31" s="211">
        <f t="shared" si="61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2"/>
        <v>0</v>
      </c>
      <c r="EP31" s="211">
        <f t="shared" si="63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4"/>
        <v>0</v>
      </c>
      <c r="EX31" s="211">
        <f t="shared" si="65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6"/>
        <v>0</v>
      </c>
      <c r="FF31" s="211">
        <f t="shared" si="67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8"/>
        <v>0</v>
      </c>
      <c r="FN31" s="211">
        <f t="shared" si="69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70"/>
        <v>0</v>
      </c>
      <c r="FV31" s="211">
        <f t="shared" si="71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2"/>
        <v>0</v>
      </c>
      <c r="GD31" s="211">
        <f t="shared" si="73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4"/>
        <v>0</v>
      </c>
      <c r="GL31" s="211">
        <f t="shared" si="75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6"/>
        <v>0</v>
      </c>
      <c r="GT31" s="873">
        <f t="shared" si="77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8"/>
        <v>0</v>
      </c>
      <c r="HB31" s="873">
        <f t="shared" si="79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80"/>
        <v>0</v>
      </c>
      <c r="HJ31" s="873">
        <f t="shared" si="81"/>
        <v>0</v>
      </c>
      <c r="HK31" s="346">
        <v>0</v>
      </c>
      <c r="HL31" s="343">
        <v>0</v>
      </c>
      <c r="HM31" s="343">
        <v>0</v>
      </c>
      <c r="HN31" s="343">
        <v>0</v>
      </c>
      <c r="HO31" s="343">
        <v>0</v>
      </c>
      <c r="HP31" s="343">
        <v>0</v>
      </c>
      <c r="HQ31" s="872">
        <f t="shared" si="82"/>
        <v>0</v>
      </c>
      <c r="HR31" s="873">
        <f t="shared" si="83"/>
        <v>0</v>
      </c>
      <c r="HS31" s="346">
        <v>0</v>
      </c>
      <c r="HT31" s="343">
        <v>0</v>
      </c>
      <c r="HU31" s="343"/>
      <c r="HV31" s="343"/>
      <c r="HW31" s="343"/>
      <c r="HX31" s="343"/>
      <c r="HY31" s="872">
        <f t="shared" si="84"/>
        <v>0</v>
      </c>
      <c r="HZ31" s="873">
        <f t="shared" si="85"/>
        <v>0</v>
      </c>
    </row>
    <row r="32" spans="1:234" s="341" customFormat="1" ht="15" customHeight="1" x14ac:dyDescent="0.2">
      <c r="A32" s="21">
        <v>21</v>
      </c>
      <c r="B32" s="21" t="s">
        <v>76</v>
      </c>
      <c r="C32" s="275" t="s">
        <v>285</v>
      </c>
      <c r="D32" s="21">
        <v>25</v>
      </c>
      <c r="E32" s="24"/>
      <c r="F32" s="24">
        <v>3466</v>
      </c>
      <c r="G32" s="24"/>
      <c r="H32" s="24">
        <v>2912</v>
      </c>
      <c r="I32" s="360"/>
      <c r="J32" s="360">
        <f>SUMIF(SUMPK!$B:$B,$B:$B,SUMPK!$O:$O)</f>
        <v>332</v>
      </c>
      <c r="K32" s="24"/>
      <c r="L32" s="24">
        <f t="shared" si="95"/>
        <v>6046</v>
      </c>
      <c r="M32" s="15">
        <f t="shared" si="96"/>
        <v>6046</v>
      </c>
      <c r="N32" s="15">
        <v>336.83333333333331</v>
      </c>
      <c r="O32" s="276">
        <f t="shared" si="28"/>
        <v>17.949529935675411</v>
      </c>
      <c r="P32" s="15"/>
      <c r="Q32" s="711">
        <f t="shared" si="29"/>
        <v>3733.3333333333335</v>
      </c>
      <c r="R32" s="276">
        <f t="shared" si="30"/>
        <v>0</v>
      </c>
      <c r="S32" s="712">
        <f t="shared" si="31"/>
        <v>861.53846153846155</v>
      </c>
      <c r="T32" s="713">
        <v>22400</v>
      </c>
      <c r="U32" s="276">
        <f t="shared" si="92"/>
        <v>7.0176785714285712</v>
      </c>
      <c r="V32" s="278"/>
      <c r="W32" s="276">
        <f t="shared" si="33"/>
        <v>7.0176785714285712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4"/>
        <v>5037</v>
      </c>
      <c r="AH32" s="211">
        <f t="shared" si="35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6"/>
        <v>2704</v>
      </c>
      <c r="AP32" s="809">
        <f t="shared" si="37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8"/>
        <v>792</v>
      </c>
      <c r="AX32" s="211">
        <f t="shared" si="39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40"/>
        <v>4224</v>
      </c>
      <c r="BF32" s="211">
        <f t="shared" si="41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2"/>
        <v>0</v>
      </c>
      <c r="BN32" s="211">
        <f t="shared" si="43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4"/>
        <v>4428</v>
      </c>
      <c r="BV32" s="211">
        <f t="shared" si="45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6"/>
        <v>2627</v>
      </c>
      <c r="CD32" s="211">
        <f t="shared" si="47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8"/>
        <v>4016</v>
      </c>
      <c r="CL32" s="211">
        <f t="shared" si="49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50"/>
        <v>5732</v>
      </c>
      <c r="CT32" s="211">
        <f t="shared" si="51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2"/>
        <v>4895</v>
      </c>
      <c r="DB32" s="211">
        <f t="shared" si="53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4"/>
        <v>0</v>
      </c>
      <c r="DJ32" s="211">
        <f t="shared" si="55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6"/>
        <v>7258</v>
      </c>
      <c r="DR32" s="211">
        <f t="shared" si="57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8"/>
        <v>5541</v>
      </c>
      <c r="DZ32" s="211">
        <f t="shared" si="59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60"/>
        <v>4856</v>
      </c>
      <c r="EH32" s="211">
        <f t="shared" si="61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2"/>
        <v>545</v>
      </c>
      <c r="EP32" s="211">
        <f t="shared" si="63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4"/>
        <v>4190</v>
      </c>
      <c r="EX32" s="211">
        <f t="shared" si="65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6"/>
        <v>4534</v>
      </c>
      <c r="FF32" s="211">
        <f t="shared" si="67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8"/>
        <v>0</v>
      </c>
      <c r="FN32" s="211">
        <f t="shared" si="69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70"/>
        <v>9281</v>
      </c>
      <c r="FV32" s="211">
        <f t="shared" si="71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2"/>
        <v>0</v>
      </c>
      <c r="GD32" s="211">
        <f t="shared" si="73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4"/>
        <v>5045</v>
      </c>
      <c r="GL32" s="211">
        <f t="shared" si="75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6"/>
        <v>3039</v>
      </c>
      <c r="GT32" s="873">
        <f t="shared" si="77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8"/>
        <v>6350</v>
      </c>
      <c r="HB32" s="873">
        <f t="shared" si="79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80"/>
        <v>0</v>
      </c>
      <c r="HJ32" s="873">
        <f t="shared" si="81"/>
        <v>0</v>
      </c>
      <c r="HK32" s="346">
        <v>0</v>
      </c>
      <c r="HL32" s="343">
        <v>2021</v>
      </c>
      <c r="HM32" s="343">
        <v>0</v>
      </c>
      <c r="HN32" s="343">
        <v>0</v>
      </c>
      <c r="HO32" s="343">
        <v>0</v>
      </c>
      <c r="HP32" s="343"/>
      <c r="HQ32" s="872">
        <f t="shared" si="82"/>
        <v>2021</v>
      </c>
      <c r="HR32" s="873">
        <f t="shared" si="83"/>
        <v>336.83333333333331</v>
      </c>
      <c r="HS32" s="346">
        <v>6962</v>
      </c>
      <c r="HT32" s="343">
        <v>0</v>
      </c>
      <c r="HU32" s="343"/>
      <c r="HV32" s="343"/>
      <c r="HW32" s="343"/>
      <c r="HX32" s="343"/>
      <c r="HY32" s="872">
        <f t="shared" si="84"/>
        <v>6962</v>
      </c>
      <c r="HZ32" s="873">
        <f t="shared" si="85"/>
        <v>1160.3333333333333</v>
      </c>
    </row>
    <row r="33" spans="1:234" s="341" customFormat="1" ht="15" customHeight="1" x14ac:dyDescent="0.2">
      <c r="A33" s="21">
        <v>22</v>
      </c>
      <c r="B33" s="21" t="s">
        <v>76</v>
      </c>
      <c r="C33" s="275" t="s">
        <v>286</v>
      </c>
      <c r="D33" s="21">
        <v>25</v>
      </c>
      <c r="E33" s="24"/>
      <c r="F33" s="24">
        <v>3809</v>
      </c>
      <c r="G33" s="24"/>
      <c r="H33" s="24"/>
      <c r="I33" s="360"/>
      <c r="J33" s="360"/>
      <c r="K33" s="24"/>
      <c r="L33" s="24">
        <f t="shared" si="95"/>
        <v>3809</v>
      </c>
      <c r="M33" s="15">
        <f t="shared" si="96"/>
        <v>3809</v>
      </c>
      <c r="N33" s="15">
        <v>185.83333333333334</v>
      </c>
      <c r="O33" s="276">
        <f t="shared" si="28"/>
        <v>20.496860986547084</v>
      </c>
      <c r="P33" s="15"/>
      <c r="Q33" s="711">
        <f t="shared" si="29"/>
        <v>640</v>
      </c>
      <c r="R33" s="276">
        <f t="shared" si="30"/>
        <v>0</v>
      </c>
      <c r="S33" s="712">
        <f t="shared" si="31"/>
        <v>147.69230769230768</v>
      </c>
      <c r="T33" s="713">
        <v>3840</v>
      </c>
      <c r="U33" s="276">
        <f t="shared" si="92"/>
        <v>25.790104166666669</v>
      </c>
      <c r="V33" s="278"/>
      <c r="W33" s="276">
        <f t="shared" si="33"/>
        <v>25.790104166666669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4"/>
        <v>1000</v>
      </c>
      <c r="AH33" s="211">
        <f t="shared" si="35"/>
        <v>166.66666666666666</v>
      </c>
      <c r="AI33" s="755"/>
      <c r="AJ33" s="345"/>
      <c r="AK33" s="345"/>
      <c r="AL33" s="345"/>
      <c r="AM33" s="345"/>
      <c r="AN33" s="345"/>
      <c r="AO33" s="808">
        <f t="shared" si="36"/>
        <v>0</v>
      </c>
      <c r="AP33" s="809">
        <f t="shared" si="37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8"/>
        <v>745</v>
      </c>
      <c r="AX33" s="211">
        <f t="shared" si="39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40"/>
        <v>1252</v>
      </c>
      <c r="BF33" s="211">
        <f t="shared" si="41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2"/>
        <v>1125</v>
      </c>
      <c r="BN33" s="211">
        <f t="shared" si="43"/>
        <v>187.5</v>
      </c>
      <c r="BO33" s="755"/>
      <c r="BP33" s="345"/>
      <c r="BQ33" s="345"/>
      <c r="BR33" s="345"/>
      <c r="BS33" s="345"/>
      <c r="BT33" s="345"/>
      <c r="BU33" s="808">
        <f t="shared" si="44"/>
        <v>0</v>
      </c>
      <c r="BV33" s="211">
        <f t="shared" si="45"/>
        <v>0</v>
      </c>
      <c r="BW33" s="755"/>
      <c r="BX33" s="345"/>
      <c r="BY33" s="345"/>
      <c r="BZ33" s="345"/>
      <c r="CA33" s="345"/>
      <c r="CB33" s="345"/>
      <c r="CC33" s="808">
        <f t="shared" si="46"/>
        <v>0</v>
      </c>
      <c r="CD33" s="211">
        <f t="shared" si="47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8"/>
        <v>0</v>
      </c>
      <c r="CL33" s="211">
        <f t="shared" si="49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50"/>
        <v>0</v>
      </c>
      <c r="CT33" s="211">
        <f t="shared" si="51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2"/>
        <v>697</v>
      </c>
      <c r="DB33" s="211">
        <f t="shared" si="53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4"/>
        <v>1105</v>
      </c>
      <c r="DJ33" s="211">
        <f t="shared" si="55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6"/>
        <v>298</v>
      </c>
      <c r="DR33" s="211">
        <f t="shared" si="57"/>
        <v>49.666666666666664</v>
      </c>
      <c r="DS33" s="346"/>
      <c r="DT33" s="343"/>
      <c r="DU33" s="343"/>
      <c r="DV33" s="343"/>
      <c r="DW33" s="343"/>
      <c r="DX33" s="343"/>
      <c r="DY33" s="808">
        <f t="shared" si="58"/>
        <v>0</v>
      </c>
      <c r="DZ33" s="211">
        <f t="shared" si="59"/>
        <v>0</v>
      </c>
      <c r="EA33" s="346"/>
      <c r="EB33" s="343"/>
      <c r="EC33" s="343"/>
      <c r="ED33" s="343"/>
      <c r="EE33" s="343"/>
      <c r="EF33" s="343"/>
      <c r="EG33" s="808">
        <f t="shared" si="60"/>
        <v>0</v>
      </c>
      <c r="EH33" s="211">
        <f t="shared" si="61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2"/>
        <v>1349</v>
      </c>
      <c r="EP33" s="211">
        <f t="shared" si="63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4"/>
        <v>1070</v>
      </c>
      <c r="EX33" s="211">
        <f t="shared" si="65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6"/>
        <v>1700</v>
      </c>
      <c r="FF33" s="211">
        <f t="shared" si="67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8"/>
        <v>400</v>
      </c>
      <c r="FN33" s="211">
        <f t="shared" si="69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70"/>
        <v>1400</v>
      </c>
      <c r="FV33" s="211">
        <f t="shared" si="71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2"/>
        <v>0</v>
      </c>
      <c r="GD33" s="211">
        <f t="shared" si="73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4"/>
        <v>1464</v>
      </c>
      <c r="GL33" s="211">
        <f t="shared" si="75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6"/>
        <v>696</v>
      </c>
      <c r="GT33" s="873">
        <f t="shared" si="77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8"/>
        <v>0</v>
      </c>
      <c r="HB33" s="873">
        <f t="shared" si="79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80"/>
        <v>965</v>
      </c>
      <c r="HJ33" s="873">
        <f t="shared" si="81"/>
        <v>160.83333333333334</v>
      </c>
      <c r="HK33" s="346"/>
      <c r="HL33" s="343"/>
      <c r="HM33" s="343"/>
      <c r="HN33" s="343"/>
      <c r="HO33" s="343"/>
      <c r="HP33" s="343">
        <v>1115</v>
      </c>
      <c r="HQ33" s="872">
        <f t="shared" si="82"/>
        <v>1115</v>
      </c>
      <c r="HR33" s="873">
        <f t="shared" si="83"/>
        <v>185.83333333333334</v>
      </c>
      <c r="HS33" s="346"/>
      <c r="HT33" s="343"/>
      <c r="HU33" s="343"/>
      <c r="HV33" s="343"/>
      <c r="HW33" s="343"/>
      <c r="HX33" s="343"/>
      <c r="HY33" s="872">
        <f t="shared" si="84"/>
        <v>0</v>
      </c>
      <c r="HZ33" s="873">
        <f t="shared" si="85"/>
        <v>0</v>
      </c>
    </row>
    <row r="34" spans="1:234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3621</v>
      </c>
      <c r="G34" s="24"/>
      <c r="H34" s="24"/>
      <c r="I34" s="24"/>
      <c r="J34" s="360">
        <f>SUMIF(SUMPK!$B:$B,$B:$B,SUMPK!$O:$O)</f>
        <v>0</v>
      </c>
      <c r="K34" s="24"/>
      <c r="L34" s="24">
        <f t="shared" si="95"/>
        <v>3621</v>
      </c>
      <c r="M34" s="15">
        <f t="shared" si="96"/>
        <v>3621</v>
      </c>
      <c r="N34" s="15">
        <v>0</v>
      </c>
      <c r="O34" s="276">
        <f t="shared" si="28"/>
        <v>0</v>
      </c>
      <c r="P34" s="15">
        <v>334.83333333333331</v>
      </c>
      <c r="Q34" s="711">
        <f t="shared" si="29"/>
        <v>106.66666666666667</v>
      </c>
      <c r="R34" s="276">
        <f t="shared" si="30"/>
        <v>64.886012941762075</v>
      </c>
      <c r="S34" s="712">
        <f t="shared" si="31"/>
        <v>24.615384615384617</v>
      </c>
      <c r="T34" s="713">
        <v>640</v>
      </c>
      <c r="U34" s="276">
        <f t="shared" si="92"/>
        <v>147.10312500000001</v>
      </c>
      <c r="V34" s="278"/>
      <c r="W34" s="276">
        <f t="shared" si="33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4"/>
        <v>0</v>
      </c>
      <c r="AH34" s="211">
        <f t="shared" si="35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6"/>
        <v>665</v>
      </c>
      <c r="AP34" s="809">
        <f t="shared" si="37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8"/>
        <v>706</v>
      </c>
      <c r="AX34" s="211">
        <f t="shared" si="39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40"/>
        <v>0</v>
      </c>
      <c r="BF34" s="211">
        <f t="shared" si="41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2"/>
        <v>0</v>
      </c>
      <c r="BN34" s="211">
        <f t="shared" si="43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4"/>
        <v>0</v>
      </c>
      <c r="BV34" s="211">
        <f t="shared" si="45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6"/>
        <v>658</v>
      </c>
      <c r="CD34" s="211">
        <f t="shared" si="47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8"/>
        <v>1352</v>
      </c>
      <c r="CL34" s="211">
        <f t="shared" si="49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50"/>
        <v>1015</v>
      </c>
      <c r="CT34" s="211">
        <f t="shared" si="51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2"/>
        <v>0</v>
      </c>
      <c r="DB34" s="211">
        <f t="shared" si="53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4"/>
        <v>200</v>
      </c>
      <c r="DJ34" s="211">
        <f t="shared" si="55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6"/>
        <v>0</v>
      </c>
      <c r="DR34" s="211">
        <f t="shared" si="57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8"/>
        <v>0</v>
      </c>
      <c r="DZ34" s="211">
        <f t="shared" si="59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60"/>
        <v>0</v>
      </c>
      <c r="EH34" s="211">
        <f t="shared" si="61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2"/>
        <v>0</v>
      </c>
      <c r="EP34" s="211">
        <f t="shared" si="63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4"/>
        <v>0</v>
      </c>
      <c r="EX34" s="211">
        <f t="shared" si="65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6"/>
        <v>0</v>
      </c>
      <c r="FF34" s="211">
        <f t="shared" si="67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8"/>
        <v>2000</v>
      </c>
      <c r="FN34" s="211">
        <f t="shared" si="69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70"/>
        <v>2170</v>
      </c>
      <c r="FV34" s="211">
        <f t="shared" si="71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2"/>
        <v>3000</v>
      </c>
      <c r="GD34" s="211">
        <f t="shared" si="73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4"/>
        <v>178</v>
      </c>
      <c r="GL34" s="211">
        <f t="shared" si="75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6"/>
        <v>1492</v>
      </c>
      <c r="GT34" s="873">
        <f t="shared" si="77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8"/>
        <v>2332</v>
      </c>
      <c r="HB34" s="873">
        <f t="shared" si="79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80"/>
        <v>0</v>
      </c>
      <c r="HJ34" s="873">
        <f t="shared" si="81"/>
        <v>0</v>
      </c>
      <c r="HK34" s="346">
        <v>0</v>
      </c>
      <c r="HL34" s="343">
        <v>0</v>
      </c>
      <c r="HM34" s="343">
        <v>0</v>
      </c>
      <c r="HN34" s="343">
        <v>0</v>
      </c>
      <c r="HO34" s="343">
        <v>0</v>
      </c>
      <c r="HP34" s="343">
        <v>0</v>
      </c>
      <c r="HQ34" s="872">
        <f t="shared" si="82"/>
        <v>0</v>
      </c>
      <c r="HR34" s="873">
        <f t="shared" si="83"/>
        <v>0</v>
      </c>
      <c r="HS34" s="346">
        <v>0</v>
      </c>
      <c r="HT34" s="343">
        <v>0</v>
      </c>
      <c r="HU34" s="343"/>
      <c r="HV34" s="343"/>
      <c r="HW34" s="343"/>
      <c r="HX34" s="343"/>
      <c r="HY34" s="872">
        <f t="shared" si="84"/>
        <v>0</v>
      </c>
      <c r="HZ34" s="873">
        <f t="shared" si="85"/>
        <v>0</v>
      </c>
    </row>
    <row r="35" spans="1:234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4424</v>
      </c>
      <c r="G35" s="24"/>
      <c r="H35" s="24"/>
      <c r="I35" s="360"/>
      <c r="J35" s="360">
        <f>SUMIF(SUMPK!$B:$B,$B:$B,SUMPK!$O:$O)</f>
        <v>0</v>
      </c>
      <c r="K35" s="24"/>
      <c r="L35" s="24">
        <f t="shared" si="95"/>
        <v>4424</v>
      </c>
      <c r="M35" s="15">
        <f t="shared" si="96"/>
        <v>4424</v>
      </c>
      <c r="N35" s="15">
        <v>0</v>
      </c>
      <c r="O35" s="276">
        <f t="shared" si="28"/>
        <v>0</v>
      </c>
      <c r="P35" s="15">
        <v>112</v>
      </c>
      <c r="Q35" s="711">
        <f t="shared" si="29"/>
        <v>666.66666666666663</v>
      </c>
      <c r="R35" s="276">
        <f t="shared" si="30"/>
        <v>237</v>
      </c>
      <c r="S35" s="712">
        <f t="shared" si="31"/>
        <v>153.84615384615384</v>
      </c>
      <c r="T35" s="713">
        <v>4000</v>
      </c>
      <c r="U35" s="276">
        <f t="shared" si="92"/>
        <v>28.756</v>
      </c>
      <c r="V35" s="278"/>
      <c r="W35" s="276">
        <f t="shared" si="33"/>
        <v>28.756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4"/>
        <v>679</v>
      </c>
      <c r="AH35" s="211">
        <f t="shared" si="35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6"/>
        <v>682</v>
      </c>
      <c r="AP35" s="809">
        <f t="shared" si="37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8"/>
        <v>676</v>
      </c>
      <c r="AX35" s="211">
        <f t="shared" si="39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40"/>
        <v>672</v>
      </c>
      <c r="BF35" s="211">
        <f t="shared" si="41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2"/>
        <v>660</v>
      </c>
      <c r="BN35" s="211">
        <f t="shared" si="43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4"/>
        <v>1712</v>
      </c>
      <c r="BV35" s="211">
        <f t="shared" si="45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6"/>
        <v>150</v>
      </c>
      <c r="CD35" s="211">
        <f t="shared" si="47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8"/>
        <v>1728</v>
      </c>
      <c r="CL35" s="211">
        <f t="shared" si="49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50"/>
        <v>2151</v>
      </c>
      <c r="CT35" s="211">
        <f t="shared" si="51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2"/>
        <v>0</v>
      </c>
      <c r="DB35" s="211">
        <f t="shared" si="53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4"/>
        <v>1995</v>
      </c>
      <c r="DJ35" s="211">
        <f t="shared" si="55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6"/>
        <v>1025</v>
      </c>
      <c r="DR35" s="211">
        <f t="shared" si="57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8"/>
        <v>1661</v>
      </c>
      <c r="DZ35" s="211">
        <f t="shared" si="59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60"/>
        <v>993</v>
      </c>
      <c r="EH35" s="211">
        <f t="shared" si="61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2"/>
        <v>676</v>
      </c>
      <c r="EP35" s="211">
        <f t="shared" si="63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4"/>
        <v>1091</v>
      </c>
      <c r="EX35" s="211">
        <f t="shared" si="65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6"/>
        <v>985</v>
      </c>
      <c r="FF35" s="211">
        <f t="shared" si="67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8"/>
        <v>542</v>
      </c>
      <c r="FN35" s="211">
        <f t="shared" si="69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70"/>
        <v>1361</v>
      </c>
      <c r="FV35" s="211">
        <f t="shared" si="71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2"/>
        <v>681</v>
      </c>
      <c r="GD35" s="211">
        <f t="shared" si="73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4"/>
        <v>682</v>
      </c>
      <c r="GL35" s="211">
        <f t="shared" si="75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6"/>
        <v>578</v>
      </c>
      <c r="GT35" s="873">
        <f t="shared" si="77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8"/>
        <v>0</v>
      </c>
      <c r="HB35" s="873">
        <f t="shared" si="79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80"/>
        <v>1365</v>
      </c>
      <c r="HJ35" s="873">
        <f t="shared" si="81"/>
        <v>227.5</v>
      </c>
      <c r="HK35" s="346">
        <v>0</v>
      </c>
      <c r="HL35" s="343">
        <v>0</v>
      </c>
      <c r="HM35" s="343">
        <v>0</v>
      </c>
      <c r="HN35" s="343">
        <v>0</v>
      </c>
      <c r="HO35" s="343">
        <v>0</v>
      </c>
      <c r="HP35" s="343">
        <v>0</v>
      </c>
      <c r="HQ35" s="872">
        <f t="shared" si="82"/>
        <v>0</v>
      </c>
      <c r="HR35" s="873">
        <f t="shared" si="83"/>
        <v>0</v>
      </c>
      <c r="HS35" s="346">
        <v>1000</v>
      </c>
      <c r="HT35" s="343">
        <v>0</v>
      </c>
      <c r="HU35" s="343"/>
      <c r="HV35" s="343"/>
      <c r="HW35" s="343"/>
      <c r="HX35" s="343"/>
      <c r="HY35" s="872">
        <f t="shared" si="84"/>
        <v>1000</v>
      </c>
      <c r="HZ35" s="873">
        <f t="shared" si="85"/>
        <v>166.66666666666666</v>
      </c>
    </row>
    <row r="36" spans="1:234" s="341" customFormat="1" ht="15" hidden="1" customHeight="1" x14ac:dyDescent="0.2">
      <c r="A36" s="21">
        <v>25</v>
      </c>
      <c r="B36" s="21" t="s">
        <v>322</v>
      </c>
      <c r="C36" s="275" t="s">
        <v>323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5"/>
        <v>0</v>
      </c>
      <c r="M36" s="15">
        <f t="shared" si="96"/>
        <v>0</v>
      </c>
      <c r="N36" s="15">
        <v>0</v>
      </c>
      <c r="O36" s="276">
        <f t="shared" si="28"/>
        <v>0</v>
      </c>
      <c r="P36" s="15"/>
      <c r="Q36" s="711">
        <f t="shared" si="29"/>
        <v>0</v>
      </c>
      <c r="R36" s="276"/>
      <c r="S36" s="712">
        <f t="shared" si="31"/>
        <v>0</v>
      </c>
      <c r="T36" s="713"/>
      <c r="U36" s="276">
        <f t="shared" si="92"/>
        <v>0</v>
      </c>
      <c r="V36" s="278"/>
      <c r="W36" s="276">
        <f t="shared" si="33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4"/>
        <v>0</v>
      </c>
      <c r="AH36" s="211">
        <f t="shared" si="35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6"/>
        <v>0</v>
      </c>
      <c r="AP36" s="809">
        <f t="shared" si="37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8"/>
        <v>0</v>
      </c>
      <c r="AX36" s="211">
        <f t="shared" si="39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40"/>
        <v>662</v>
      </c>
      <c r="BF36" s="211">
        <f t="shared" si="41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2"/>
        <v>0</v>
      </c>
      <c r="BN36" s="211">
        <f t="shared" si="43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4"/>
        <v>0</v>
      </c>
      <c r="BV36" s="211">
        <f t="shared" si="45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6"/>
        <v>0</v>
      </c>
      <c r="CD36" s="211">
        <f t="shared" si="47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8"/>
        <v>0</v>
      </c>
      <c r="CL36" s="211">
        <f t="shared" si="49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50"/>
        <v>0</v>
      </c>
      <c r="CT36" s="211">
        <f t="shared" si="51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2"/>
        <v>0</v>
      </c>
      <c r="DB36" s="211">
        <f t="shared" si="53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4"/>
        <v>0</v>
      </c>
      <c r="DJ36" s="211">
        <f t="shared" si="55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6"/>
        <v>0</v>
      </c>
      <c r="DR36" s="211">
        <f t="shared" si="57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8"/>
        <v>0</v>
      </c>
      <c r="DZ36" s="211">
        <f t="shared" si="59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60"/>
        <v>0</v>
      </c>
      <c r="EH36" s="211">
        <f t="shared" si="61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2"/>
        <v>0</v>
      </c>
      <c r="EP36" s="211">
        <f t="shared" si="63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4"/>
        <v>0</v>
      </c>
      <c r="EX36" s="211">
        <f t="shared" si="65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6"/>
        <v>0</v>
      </c>
      <c r="FF36" s="211">
        <f t="shared" si="67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8"/>
        <v>0</v>
      </c>
      <c r="FN36" s="211">
        <f t="shared" si="69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70"/>
        <v>0</v>
      </c>
      <c r="FV36" s="211">
        <f t="shared" si="71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2"/>
        <v>0</v>
      </c>
      <c r="GD36" s="211">
        <f t="shared" si="73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4"/>
        <v>0</v>
      </c>
      <c r="GL36" s="211">
        <f t="shared" si="75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6"/>
        <v>0</v>
      </c>
      <c r="GT36" s="873">
        <f t="shared" si="77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8"/>
        <v>0</v>
      </c>
      <c r="HB36" s="873">
        <f t="shared" si="79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80"/>
        <v>0</v>
      </c>
      <c r="HJ36" s="873">
        <f t="shared" si="81"/>
        <v>0</v>
      </c>
      <c r="HK36" s="346">
        <v>0</v>
      </c>
      <c r="HL36" s="343">
        <v>0</v>
      </c>
      <c r="HM36" s="343">
        <v>0</v>
      </c>
      <c r="HN36" s="343">
        <v>0</v>
      </c>
      <c r="HO36" s="343">
        <v>0</v>
      </c>
      <c r="HP36" s="343">
        <v>0</v>
      </c>
      <c r="HQ36" s="872">
        <f t="shared" si="82"/>
        <v>0</v>
      </c>
      <c r="HR36" s="873">
        <f t="shared" si="83"/>
        <v>0</v>
      </c>
      <c r="HS36" s="346">
        <v>0</v>
      </c>
      <c r="HT36" s="343">
        <v>0</v>
      </c>
      <c r="HU36" s="343"/>
      <c r="HV36" s="343"/>
      <c r="HW36" s="343"/>
      <c r="HX36" s="343"/>
      <c r="HY36" s="872">
        <f t="shared" si="84"/>
        <v>0</v>
      </c>
      <c r="HZ36" s="873">
        <f t="shared" si="85"/>
        <v>0</v>
      </c>
    </row>
    <row r="37" spans="1:234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1192</v>
      </c>
      <c r="G37" s="24"/>
      <c r="H37" s="24"/>
      <c r="I37" s="360"/>
      <c r="J37" s="360">
        <f>SUMIF(SUMPK!$B:$B,$B:$B,SUMPK!$O:$O)</f>
        <v>0</v>
      </c>
      <c r="K37" s="24"/>
      <c r="L37" s="24">
        <f t="shared" si="86"/>
        <v>1192</v>
      </c>
      <c r="M37" s="15">
        <f t="shared" si="27"/>
        <v>1192</v>
      </c>
      <c r="N37" s="15">
        <v>316.5</v>
      </c>
      <c r="O37" s="276">
        <f t="shared" si="28"/>
        <v>3.7661927330173777</v>
      </c>
      <c r="P37" s="15">
        <v>43.833333333333336</v>
      </c>
      <c r="Q37" s="711">
        <f t="shared" si="29"/>
        <v>533.33333333333337</v>
      </c>
      <c r="R37" s="276">
        <f t="shared" si="30"/>
        <v>163.16349809885932</v>
      </c>
      <c r="S37" s="712">
        <f t="shared" si="31"/>
        <v>123.07692307692308</v>
      </c>
      <c r="T37" s="713">
        <v>3200</v>
      </c>
      <c r="U37" s="276">
        <f t="shared" si="92"/>
        <v>9.6850000000000005</v>
      </c>
      <c r="V37" s="278"/>
      <c r="W37" s="276">
        <f t="shared" si="33"/>
        <v>9.6850000000000005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4"/>
        <v>638</v>
      </c>
      <c r="AH37" s="211">
        <f t="shared" si="35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6"/>
        <v>615</v>
      </c>
      <c r="AP37" s="809">
        <f t="shared" si="37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8"/>
        <v>786</v>
      </c>
      <c r="AX37" s="211">
        <f t="shared" si="39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40"/>
        <v>820</v>
      </c>
      <c r="BF37" s="211">
        <f t="shared" si="41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2"/>
        <v>284</v>
      </c>
      <c r="BN37" s="211">
        <f t="shared" si="43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4"/>
        <v>754</v>
      </c>
      <c r="BV37" s="211">
        <f t="shared" si="45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6"/>
        <v>0</v>
      </c>
      <c r="CD37" s="211">
        <f t="shared" si="47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8"/>
        <v>330</v>
      </c>
      <c r="CL37" s="211">
        <f t="shared" si="49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50"/>
        <v>2714</v>
      </c>
      <c r="CT37" s="211">
        <f t="shared" si="51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2"/>
        <v>0</v>
      </c>
      <c r="DB37" s="211">
        <f t="shared" si="53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4"/>
        <v>954</v>
      </c>
      <c r="DJ37" s="211">
        <f t="shared" si="55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6"/>
        <v>0</v>
      </c>
      <c r="DR37" s="211">
        <f t="shared" si="57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8"/>
        <v>229</v>
      </c>
      <c r="DZ37" s="211">
        <f t="shared" si="59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60"/>
        <v>0</v>
      </c>
      <c r="EH37" s="211">
        <f t="shared" si="61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2"/>
        <v>662</v>
      </c>
      <c r="EP37" s="211">
        <f t="shared" si="63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4"/>
        <v>706</v>
      </c>
      <c r="EX37" s="211">
        <f t="shared" si="65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6"/>
        <v>384</v>
      </c>
      <c r="FF37" s="211">
        <f t="shared" si="67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8"/>
        <v>0</v>
      </c>
      <c r="FN37" s="211">
        <f t="shared" si="69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70"/>
        <v>577</v>
      </c>
      <c r="FV37" s="211">
        <f t="shared" si="71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2"/>
        <v>313</v>
      </c>
      <c r="GD37" s="211">
        <f t="shared" si="73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4"/>
        <v>477</v>
      </c>
      <c r="GL37" s="211">
        <f t="shared" si="75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6"/>
        <v>618</v>
      </c>
      <c r="GT37" s="873">
        <f t="shared" si="77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8"/>
        <v>639</v>
      </c>
      <c r="HB37" s="873">
        <f t="shared" si="79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80"/>
        <v>395</v>
      </c>
      <c r="HJ37" s="873">
        <f t="shared" si="81"/>
        <v>65.833333333333329</v>
      </c>
      <c r="HK37" s="346">
        <v>285</v>
      </c>
      <c r="HL37" s="343">
        <v>0</v>
      </c>
      <c r="HM37" s="343">
        <v>0</v>
      </c>
      <c r="HN37" s="343">
        <v>0</v>
      </c>
      <c r="HO37" s="343">
        <v>0</v>
      </c>
      <c r="HP37" s="343">
        <v>1614</v>
      </c>
      <c r="HQ37" s="872">
        <f t="shared" si="82"/>
        <v>1899</v>
      </c>
      <c r="HR37" s="873">
        <f t="shared" si="83"/>
        <v>316.5</v>
      </c>
      <c r="HS37" s="346">
        <v>0</v>
      </c>
      <c r="HT37" s="343">
        <v>0</v>
      </c>
      <c r="HU37" s="343"/>
      <c r="HV37" s="343"/>
      <c r="HW37" s="343"/>
      <c r="HX37" s="343"/>
      <c r="HY37" s="872">
        <f t="shared" si="84"/>
        <v>0</v>
      </c>
      <c r="HZ37" s="873">
        <f t="shared" si="85"/>
        <v>0</v>
      </c>
    </row>
    <row r="38" spans="1:234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3325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3" si="97">F38+H38-J38</f>
        <v>3325</v>
      </c>
      <c r="M38" s="15">
        <f t="shared" ref="M38:M53" si="98">K38+L38</f>
        <v>3325</v>
      </c>
      <c r="N38" s="15">
        <v>95.5</v>
      </c>
      <c r="O38" s="276">
        <f t="shared" si="28"/>
        <v>34.816753926701573</v>
      </c>
      <c r="P38" s="15">
        <v>412.33333333333331</v>
      </c>
      <c r="Q38" s="711">
        <f t="shared" si="29"/>
        <v>1066.6666666666667</v>
      </c>
      <c r="R38" s="276">
        <f t="shared" si="30"/>
        <v>48.38318512530315</v>
      </c>
      <c r="S38" s="712">
        <f t="shared" si="31"/>
        <v>246.15384615384616</v>
      </c>
      <c r="T38" s="713">
        <v>6400</v>
      </c>
      <c r="U38" s="276">
        <f t="shared" si="92"/>
        <v>13.5078125</v>
      </c>
      <c r="V38" s="278"/>
      <c r="W38" s="276">
        <f t="shared" si="33"/>
        <v>13.5078125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4"/>
        <v>600</v>
      </c>
      <c r="AH38" s="211">
        <f t="shared" si="35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6"/>
        <v>1955</v>
      </c>
      <c r="AP38" s="809">
        <f t="shared" si="37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8"/>
        <v>1090</v>
      </c>
      <c r="AX38" s="211">
        <f t="shared" si="39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40"/>
        <v>2482</v>
      </c>
      <c r="BF38" s="211">
        <f t="shared" si="41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2"/>
        <v>190</v>
      </c>
      <c r="BN38" s="211">
        <f t="shared" si="43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4"/>
        <v>2055</v>
      </c>
      <c r="BV38" s="211">
        <f t="shared" si="45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6"/>
        <v>2641</v>
      </c>
      <c r="CD38" s="211">
        <f t="shared" si="47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8"/>
        <v>1350</v>
      </c>
      <c r="CL38" s="211">
        <f t="shared" si="49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50"/>
        <v>1739</v>
      </c>
      <c r="CT38" s="211">
        <f t="shared" si="51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2"/>
        <v>664</v>
      </c>
      <c r="DB38" s="211">
        <f t="shared" si="53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4"/>
        <v>675</v>
      </c>
      <c r="DJ38" s="211">
        <f t="shared" si="55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6"/>
        <v>1105</v>
      </c>
      <c r="DR38" s="211">
        <f t="shared" si="57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8"/>
        <v>936</v>
      </c>
      <c r="DZ38" s="211">
        <f t="shared" si="59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60"/>
        <v>732</v>
      </c>
      <c r="EH38" s="211">
        <f t="shared" si="61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2"/>
        <v>1322</v>
      </c>
      <c r="EP38" s="211">
        <f t="shared" si="63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4"/>
        <v>256</v>
      </c>
      <c r="EX38" s="211">
        <f t="shared" si="65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6"/>
        <v>743</v>
      </c>
      <c r="FF38" s="211">
        <f t="shared" si="67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8"/>
        <v>1129</v>
      </c>
      <c r="FN38" s="211">
        <f t="shared" si="69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70"/>
        <v>3091</v>
      </c>
      <c r="FV38" s="211">
        <f t="shared" si="71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2"/>
        <v>1635</v>
      </c>
      <c r="GD38" s="211">
        <f t="shared" si="73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4"/>
        <v>1696</v>
      </c>
      <c r="GL38" s="211">
        <f t="shared" si="75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6"/>
        <v>703</v>
      </c>
      <c r="GT38" s="873">
        <f t="shared" si="77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8"/>
        <v>1125</v>
      </c>
      <c r="HB38" s="873">
        <f t="shared" si="79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80"/>
        <v>2104</v>
      </c>
      <c r="HJ38" s="873">
        <f t="shared" si="81"/>
        <v>350.66666666666669</v>
      </c>
      <c r="HK38" s="346">
        <v>0</v>
      </c>
      <c r="HL38" s="343">
        <v>0</v>
      </c>
      <c r="HM38" s="343">
        <v>0</v>
      </c>
      <c r="HN38" s="343">
        <v>0</v>
      </c>
      <c r="HO38" s="343">
        <v>573</v>
      </c>
      <c r="HP38" s="343">
        <v>0</v>
      </c>
      <c r="HQ38" s="872">
        <f t="shared" si="82"/>
        <v>573</v>
      </c>
      <c r="HR38" s="873">
        <f t="shared" si="83"/>
        <v>95.5</v>
      </c>
      <c r="HS38" s="346">
        <v>0</v>
      </c>
      <c r="HT38" s="343">
        <v>575</v>
      </c>
      <c r="HU38" s="343"/>
      <c r="HV38" s="343"/>
      <c r="HW38" s="343"/>
      <c r="HX38" s="343"/>
      <c r="HY38" s="872">
        <f t="shared" si="84"/>
        <v>575</v>
      </c>
      <c r="HZ38" s="873">
        <f t="shared" si="85"/>
        <v>95.833333333333329</v>
      </c>
    </row>
    <row r="39" spans="1:234" s="341" customFormat="1" ht="15" customHeight="1" x14ac:dyDescent="0.2">
      <c r="A39" s="21">
        <v>28</v>
      </c>
      <c r="B39" s="21" t="s">
        <v>484</v>
      </c>
      <c r="C39" s="275" t="s">
        <v>481</v>
      </c>
      <c r="D39" s="296">
        <v>5</v>
      </c>
      <c r="E39" s="24"/>
      <c r="F39" s="24">
        <v>2135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7"/>
        <v>2135</v>
      </c>
      <c r="M39" s="15">
        <f t="shared" si="98"/>
        <v>2135</v>
      </c>
      <c r="N39" s="15">
        <v>0</v>
      </c>
      <c r="O39" s="276">
        <f t="shared" si="28"/>
        <v>0</v>
      </c>
      <c r="P39" s="15"/>
      <c r="Q39" s="711">
        <f t="shared" si="29"/>
        <v>133.33333333333334</v>
      </c>
      <c r="R39" s="276"/>
      <c r="S39" s="712">
        <f t="shared" si="31"/>
        <v>30.76923076923077</v>
      </c>
      <c r="T39" s="713">
        <v>800</v>
      </c>
      <c r="U39" s="276">
        <f t="shared" ref="U39:U43" si="99">IF(S39=0,0,M39/S39)</f>
        <v>69.387500000000003</v>
      </c>
      <c r="V39" s="278"/>
      <c r="W39" s="276">
        <f t="shared" ref="W39:W43" si="100">IF(S39=0,0,(M39+V39)/S39)</f>
        <v>69.387500000000003</v>
      </c>
      <c r="X39" s="823">
        <f t="shared" ref="X39:X43" si="101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6"/>
        <v>20</v>
      </c>
      <c r="AP39" s="809">
        <f t="shared" si="37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8"/>
        <v>785</v>
      </c>
      <c r="AX39" s="211">
        <f t="shared" si="39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40"/>
        <v>200</v>
      </c>
      <c r="BF39" s="211">
        <f t="shared" si="41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2"/>
        <v>0</v>
      </c>
      <c r="BN39" s="211">
        <f t="shared" si="43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4"/>
        <v>0</v>
      </c>
      <c r="BV39" s="211">
        <f t="shared" si="45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6"/>
        <v>0</v>
      </c>
      <c r="CD39" s="211">
        <f t="shared" si="47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8"/>
        <v>140</v>
      </c>
      <c r="CL39" s="211">
        <f t="shared" si="49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50"/>
        <v>115</v>
      </c>
      <c r="CT39" s="211">
        <f t="shared" si="51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2"/>
        <v>280</v>
      </c>
      <c r="DB39" s="211">
        <f t="shared" si="53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4"/>
        <v>400</v>
      </c>
      <c r="DJ39" s="211">
        <f t="shared" si="55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6"/>
        <v>400</v>
      </c>
      <c r="DR39" s="211">
        <f t="shared" si="57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8"/>
        <v>0</v>
      </c>
      <c r="DZ39" s="211">
        <f t="shared" si="59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60"/>
        <v>0</v>
      </c>
      <c r="EH39" s="211">
        <f t="shared" si="61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2"/>
        <v>0</v>
      </c>
      <c r="EP39" s="211">
        <f t="shared" si="63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4"/>
        <v>450</v>
      </c>
      <c r="EX39" s="211">
        <f t="shared" si="65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6"/>
        <v>500</v>
      </c>
      <c r="FF39" s="211">
        <f t="shared" si="67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8"/>
        <v>0</v>
      </c>
      <c r="FN39" s="211">
        <f t="shared" si="69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70"/>
        <v>0</v>
      </c>
      <c r="FV39" s="211">
        <f t="shared" si="71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2"/>
        <v>0</v>
      </c>
      <c r="GD39" s="211">
        <f t="shared" si="73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4"/>
        <v>0</v>
      </c>
      <c r="GL39" s="211">
        <f t="shared" si="75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6"/>
        <v>400</v>
      </c>
      <c r="GT39" s="873">
        <f t="shared" si="77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8"/>
        <v>0</v>
      </c>
      <c r="HB39" s="873">
        <f t="shared" si="79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80"/>
        <v>0</v>
      </c>
      <c r="HJ39" s="873">
        <f t="shared" si="81"/>
        <v>0</v>
      </c>
      <c r="HK39" s="346">
        <v>0</v>
      </c>
      <c r="HL39" s="343">
        <v>0</v>
      </c>
      <c r="HM39" s="343">
        <v>0</v>
      </c>
      <c r="HN39" s="343">
        <v>0</v>
      </c>
      <c r="HO39" s="343">
        <v>0</v>
      </c>
      <c r="HP39" s="343">
        <v>0</v>
      </c>
      <c r="HQ39" s="872">
        <f t="shared" si="82"/>
        <v>0</v>
      </c>
      <c r="HR39" s="873">
        <f t="shared" si="83"/>
        <v>0</v>
      </c>
      <c r="HS39" s="346">
        <v>0</v>
      </c>
      <c r="HT39" s="343">
        <v>0</v>
      </c>
      <c r="HU39" s="343"/>
      <c r="HV39" s="343"/>
      <c r="HW39" s="343"/>
      <c r="HX39" s="343"/>
      <c r="HY39" s="872">
        <f t="shared" si="84"/>
        <v>0</v>
      </c>
      <c r="HZ39" s="873">
        <f t="shared" si="85"/>
        <v>0</v>
      </c>
    </row>
    <row r="40" spans="1:234" s="341" customFormat="1" ht="15" customHeight="1" x14ac:dyDescent="0.2">
      <c r="A40" s="21">
        <v>29</v>
      </c>
      <c r="B40" s="21" t="s">
        <v>495</v>
      </c>
      <c r="C40" s="275" t="s">
        <v>483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7"/>
        <v>127</v>
      </c>
      <c r="M40" s="15">
        <f t="shared" si="98"/>
        <v>127</v>
      </c>
      <c r="N40" s="15">
        <v>0</v>
      </c>
      <c r="O40" s="276">
        <f t="shared" si="28"/>
        <v>0</v>
      </c>
      <c r="P40" s="15"/>
      <c r="Q40" s="711"/>
      <c r="R40" s="276"/>
      <c r="S40" s="712">
        <f t="shared" si="31"/>
        <v>0</v>
      </c>
      <c r="T40" s="713"/>
      <c r="U40" s="276">
        <f t="shared" si="99"/>
        <v>0</v>
      </c>
      <c r="V40" s="278"/>
      <c r="W40" s="276">
        <f t="shared" si="100"/>
        <v>0</v>
      </c>
      <c r="X40" s="823">
        <f t="shared" si="101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6"/>
        <v>4</v>
      </c>
      <c r="AP40" s="809">
        <f t="shared" si="37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8"/>
        <v>117</v>
      </c>
      <c r="AX40" s="211">
        <f t="shared" si="39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40"/>
        <v>40</v>
      </c>
      <c r="BF40" s="211">
        <f t="shared" si="41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2"/>
        <v>0</v>
      </c>
      <c r="BN40" s="211">
        <f t="shared" si="43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4"/>
        <v>0</v>
      </c>
      <c r="BV40" s="211">
        <f t="shared" si="45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6"/>
        <v>0</v>
      </c>
      <c r="CD40" s="211">
        <f t="shared" si="47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8"/>
        <v>28</v>
      </c>
      <c r="CL40" s="211">
        <f t="shared" si="49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50"/>
        <v>23</v>
      </c>
      <c r="CT40" s="211">
        <f t="shared" si="51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2"/>
        <v>56</v>
      </c>
      <c r="DB40" s="211">
        <f t="shared" si="53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4"/>
        <v>80</v>
      </c>
      <c r="DJ40" s="211">
        <f t="shared" si="55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6"/>
        <v>80</v>
      </c>
      <c r="DR40" s="211">
        <f t="shared" si="57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8"/>
        <v>0</v>
      </c>
      <c r="DZ40" s="211">
        <f t="shared" si="59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60"/>
        <v>0</v>
      </c>
      <c r="EH40" s="211">
        <f t="shared" si="61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2"/>
        <v>0</v>
      </c>
      <c r="EP40" s="211">
        <f t="shared" si="63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4"/>
        <v>90</v>
      </c>
      <c r="EX40" s="211">
        <f t="shared" si="65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6"/>
        <v>100</v>
      </c>
      <c r="FF40" s="211">
        <f t="shared" si="67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8"/>
        <v>0</v>
      </c>
      <c r="FN40" s="211">
        <f t="shared" si="69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70"/>
        <v>0</v>
      </c>
      <c r="FV40" s="211">
        <f t="shared" si="71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2"/>
        <v>0</v>
      </c>
      <c r="GD40" s="211">
        <f t="shared" si="73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4"/>
        <v>0</v>
      </c>
      <c r="GL40" s="211">
        <f t="shared" si="75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6"/>
        <v>104</v>
      </c>
      <c r="GT40" s="873">
        <f t="shared" si="77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8"/>
        <v>0</v>
      </c>
      <c r="HB40" s="873">
        <f t="shared" si="79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80"/>
        <v>0</v>
      </c>
      <c r="HJ40" s="873">
        <f t="shared" si="81"/>
        <v>0</v>
      </c>
      <c r="HK40" s="346">
        <v>0</v>
      </c>
      <c r="HL40" s="343">
        <v>0</v>
      </c>
      <c r="HM40" s="343">
        <v>0</v>
      </c>
      <c r="HN40" s="343">
        <v>0</v>
      </c>
      <c r="HO40" s="343">
        <v>0</v>
      </c>
      <c r="HP40" s="343">
        <v>0</v>
      </c>
      <c r="HQ40" s="872">
        <f t="shared" si="82"/>
        <v>0</v>
      </c>
      <c r="HR40" s="873">
        <f t="shared" si="83"/>
        <v>0</v>
      </c>
      <c r="HS40" s="346">
        <v>0</v>
      </c>
      <c r="HT40" s="343">
        <v>0</v>
      </c>
      <c r="HU40" s="343"/>
      <c r="HV40" s="343"/>
      <c r="HW40" s="343"/>
      <c r="HX40" s="343"/>
      <c r="HY40" s="872">
        <f t="shared" si="84"/>
        <v>0</v>
      </c>
      <c r="HZ40" s="873">
        <f t="shared" si="85"/>
        <v>0</v>
      </c>
    </row>
    <row r="41" spans="1:234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9115</v>
      </c>
      <c r="G41" s="24"/>
      <c r="H41" s="24"/>
      <c r="I41" s="24"/>
      <c r="J41" s="360">
        <f>SUMIF(SUMPK!$B:$B,$B:$B,SUMPK!$O:$O)</f>
        <v>0</v>
      </c>
      <c r="K41" s="24"/>
      <c r="L41" s="24">
        <f t="shared" si="97"/>
        <v>9115</v>
      </c>
      <c r="M41" s="15">
        <f t="shared" si="98"/>
        <v>9115</v>
      </c>
      <c r="N41" s="15">
        <v>96.833333333333329</v>
      </c>
      <c r="O41" s="276">
        <f t="shared" si="28"/>
        <v>94.130808950086063</v>
      </c>
      <c r="P41" s="15">
        <v>300</v>
      </c>
      <c r="Q41" s="711">
        <f t="shared" si="29"/>
        <v>666.66666666666663</v>
      </c>
      <c r="R41" s="276">
        <f t="shared" si="30"/>
        <v>182.3</v>
      </c>
      <c r="S41" s="712">
        <f t="shared" si="31"/>
        <v>153.84615384615384</v>
      </c>
      <c r="T41" s="713">
        <v>4000</v>
      </c>
      <c r="U41" s="276">
        <f t="shared" si="99"/>
        <v>59.247500000000002</v>
      </c>
      <c r="V41" s="278"/>
      <c r="W41" s="276">
        <f t="shared" si="100"/>
        <v>59.247500000000002</v>
      </c>
      <c r="X41" s="823">
        <f t="shared" si="101"/>
        <v>1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4"/>
        <v>432</v>
      </c>
      <c r="AH41" s="211">
        <f t="shared" si="35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6"/>
        <v>1174</v>
      </c>
      <c r="AP41" s="809">
        <f t="shared" si="37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8"/>
        <v>934</v>
      </c>
      <c r="AX41" s="211">
        <f t="shared" si="39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40"/>
        <v>139</v>
      </c>
      <c r="BF41" s="211">
        <f t="shared" si="41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2"/>
        <v>439</v>
      </c>
      <c r="BN41" s="211">
        <f t="shared" si="43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4"/>
        <v>963</v>
      </c>
      <c r="BV41" s="211">
        <f t="shared" si="45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6"/>
        <v>231</v>
      </c>
      <c r="CD41" s="211">
        <f t="shared" si="47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8"/>
        <v>883</v>
      </c>
      <c r="CL41" s="211">
        <f t="shared" si="49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50"/>
        <v>3150</v>
      </c>
      <c r="CT41" s="211">
        <f t="shared" si="51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2"/>
        <v>2963</v>
      </c>
      <c r="DB41" s="211">
        <f t="shared" si="53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4"/>
        <v>2916</v>
      </c>
      <c r="DJ41" s="211">
        <f t="shared" si="55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6"/>
        <v>605</v>
      </c>
      <c r="DR41" s="211">
        <f t="shared" si="57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8"/>
        <v>349</v>
      </c>
      <c r="DZ41" s="211">
        <f t="shared" si="59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60"/>
        <v>1227</v>
      </c>
      <c r="EH41" s="211">
        <f t="shared" si="61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2"/>
        <v>1908</v>
      </c>
      <c r="EP41" s="211">
        <f t="shared" si="63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4"/>
        <v>533</v>
      </c>
      <c r="EX41" s="211">
        <f t="shared" si="65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6"/>
        <v>1403</v>
      </c>
      <c r="FF41" s="211">
        <f t="shared" si="67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8"/>
        <v>35</v>
      </c>
      <c r="FN41" s="211">
        <f t="shared" si="69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70"/>
        <v>1039</v>
      </c>
      <c r="FV41" s="211">
        <f t="shared" si="71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2"/>
        <v>818</v>
      </c>
      <c r="GD41" s="211">
        <f t="shared" si="73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4"/>
        <v>646</v>
      </c>
      <c r="GL41" s="211">
        <f t="shared" si="75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6"/>
        <v>286</v>
      </c>
      <c r="GT41" s="873">
        <f t="shared" si="77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8"/>
        <v>433</v>
      </c>
      <c r="HB41" s="873">
        <f t="shared" si="79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80"/>
        <v>769</v>
      </c>
      <c r="HJ41" s="873">
        <f t="shared" si="81"/>
        <v>128.16666666666666</v>
      </c>
      <c r="HK41" s="346">
        <v>0</v>
      </c>
      <c r="HL41" s="343">
        <v>0</v>
      </c>
      <c r="HM41" s="343">
        <v>0</v>
      </c>
      <c r="HN41" s="343">
        <v>187</v>
      </c>
      <c r="HO41" s="343">
        <v>394</v>
      </c>
      <c r="HP41" s="343">
        <v>0</v>
      </c>
      <c r="HQ41" s="872">
        <f t="shared" si="82"/>
        <v>581</v>
      </c>
      <c r="HR41" s="873">
        <f t="shared" si="83"/>
        <v>96.833333333333329</v>
      </c>
      <c r="HS41" s="346">
        <v>0</v>
      </c>
      <c r="HT41" s="343">
        <v>232</v>
      </c>
      <c r="HU41" s="343"/>
      <c r="HV41" s="343"/>
      <c r="HW41" s="343"/>
      <c r="HX41" s="343"/>
      <c r="HY41" s="872">
        <f t="shared" si="84"/>
        <v>232</v>
      </c>
      <c r="HZ41" s="873">
        <f t="shared" si="85"/>
        <v>38.666666666666664</v>
      </c>
    </row>
    <row r="42" spans="1:234" s="341" customFormat="1" ht="15" customHeight="1" x14ac:dyDescent="0.2">
      <c r="A42" s="21">
        <v>31</v>
      </c>
      <c r="B42" s="21" t="s">
        <v>522</v>
      </c>
      <c r="C42" s="275" t="s">
        <v>525</v>
      </c>
      <c r="D42" s="21">
        <v>25</v>
      </c>
      <c r="E42" s="24"/>
      <c r="F42" s="24">
        <v>3005</v>
      </c>
      <c r="G42" s="24"/>
      <c r="H42" s="24"/>
      <c r="I42" s="24"/>
      <c r="J42" s="360">
        <f>SUMIF(SUMPK!$B:$B,$B:$B,SUMPK!$O:$O)</f>
        <v>0</v>
      </c>
      <c r="K42" s="24"/>
      <c r="L42" s="24">
        <f t="shared" si="97"/>
        <v>3005</v>
      </c>
      <c r="M42" s="15">
        <f t="shared" si="98"/>
        <v>3005</v>
      </c>
      <c r="N42" s="15">
        <v>46.833333333333336</v>
      </c>
      <c r="O42" s="276">
        <f t="shared" ref="O42:O44" si="102">IF(N42=0,0,M42/N42)</f>
        <v>64.163701067615662</v>
      </c>
      <c r="P42" s="15">
        <v>301</v>
      </c>
      <c r="Q42" s="711">
        <f t="shared" ref="Q42:Q44" si="103">T42/$Q$8</f>
        <v>80</v>
      </c>
      <c r="R42" s="276">
        <f t="shared" ref="R42:R44" si="104">IF(P42=0,0,M42/P42*6)</f>
        <v>59.900332225913623</v>
      </c>
      <c r="S42" s="712">
        <f t="shared" ref="S42:S44" si="105">T42/$T$8</f>
        <v>18.46153846153846</v>
      </c>
      <c r="T42" s="713">
        <v>480</v>
      </c>
      <c r="U42" s="276">
        <f t="shared" si="99"/>
        <v>162.77083333333334</v>
      </c>
      <c r="V42" s="278"/>
      <c r="W42" s="276">
        <f t="shared" si="100"/>
        <v>162.77083333333334</v>
      </c>
      <c r="X42" s="823">
        <f t="shared" si="101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6"/>
        <v>285</v>
      </c>
      <c r="GT42" s="873">
        <f t="shared" si="77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8"/>
        <v>0</v>
      </c>
      <c r="HB42" s="873">
        <f t="shared" si="79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80"/>
        <v>598</v>
      </c>
      <c r="HJ42" s="873">
        <f t="shared" si="81"/>
        <v>99.666666666666671</v>
      </c>
      <c r="HK42" s="346">
        <v>0</v>
      </c>
      <c r="HL42" s="343">
        <v>0</v>
      </c>
      <c r="HM42" s="343">
        <v>0</v>
      </c>
      <c r="HN42" s="343">
        <v>0</v>
      </c>
      <c r="HO42" s="343">
        <v>281</v>
      </c>
      <c r="HP42" s="343">
        <v>0</v>
      </c>
      <c r="HQ42" s="872">
        <f t="shared" si="82"/>
        <v>281</v>
      </c>
      <c r="HR42" s="873">
        <f t="shared" si="83"/>
        <v>46.833333333333336</v>
      </c>
      <c r="HS42" s="346">
        <v>0</v>
      </c>
      <c r="HT42" s="343">
        <v>0</v>
      </c>
      <c r="HU42" s="343"/>
      <c r="HV42" s="343"/>
      <c r="HW42" s="343"/>
      <c r="HX42" s="343"/>
      <c r="HY42" s="872">
        <f t="shared" si="84"/>
        <v>0</v>
      </c>
      <c r="HZ42" s="873">
        <f t="shared" si="85"/>
        <v>0</v>
      </c>
    </row>
    <row r="43" spans="1:234" s="341" customFormat="1" x14ac:dyDescent="0.2">
      <c r="A43" s="21">
        <v>32</v>
      </c>
      <c r="B43" s="21" t="s">
        <v>167</v>
      </c>
      <c r="C43" s="715" t="s">
        <v>299</v>
      </c>
      <c r="D43" s="21">
        <v>25</v>
      </c>
      <c r="E43" s="24"/>
      <c r="F43" s="24">
        <v>7677</v>
      </c>
      <c r="G43" s="24"/>
      <c r="H43" s="24"/>
      <c r="I43" s="24"/>
      <c r="J43" s="360">
        <f>SUMIF(SUMPK!$B:$B,$B:$B,SUMPK!$O:$O)</f>
        <v>0</v>
      </c>
      <c r="K43" s="24"/>
      <c r="L43" s="24">
        <f t="shared" si="97"/>
        <v>7677</v>
      </c>
      <c r="M43" s="15">
        <f t="shared" si="98"/>
        <v>7677</v>
      </c>
      <c r="N43" s="15">
        <v>387.16666666666669</v>
      </c>
      <c r="O43" s="276">
        <f t="shared" si="102"/>
        <v>19.828669823504089</v>
      </c>
      <c r="P43" s="15">
        <v>302</v>
      </c>
      <c r="Q43" s="711">
        <f t="shared" si="103"/>
        <v>1333.3333333333333</v>
      </c>
      <c r="R43" s="276">
        <f t="shared" si="104"/>
        <v>152.523178807947</v>
      </c>
      <c r="S43" s="712">
        <f t="shared" si="105"/>
        <v>307.69230769230768</v>
      </c>
      <c r="T43" s="713">
        <v>8000</v>
      </c>
      <c r="U43" s="276">
        <f t="shared" si="99"/>
        <v>24.95025</v>
      </c>
      <c r="V43" s="278"/>
      <c r="W43" s="276">
        <f t="shared" si="100"/>
        <v>24.95025</v>
      </c>
      <c r="X43" s="823">
        <f t="shared" si="101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4"/>
        <v>970</v>
      </c>
      <c r="AH43" s="211">
        <f t="shared" si="35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6"/>
        <v>944</v>
      </c>
      <c r="AP43" s="809">
        <f t="shared" si="37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8"/>
        <v>1305</v>
      </c>
      <c r="AX43" s="211">
        <f t="shared" si="39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40"/>
        <v>2017</v>
      </c>
      <c r="BF43" s="211">
        <f t="shared" si="41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2"/>
        <v>1577</v>
      </c>
      <c r="BN43" s="211">
        <f t="shared" si="43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4"/>
        <v>878</v>
      </c>
      <c r="BV43" s="211">
        <f t="shared" si="45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6"/>
        <v>1525</v>
      </c>
      <c r="CD43" s="211">
        <f t="shared" si="47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8"/>
        <v>1790</v>
      </c>
      <c r="CL43" s="211">
        <f t="shared" si="49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50"/>
        <v>1690</v>
      </c>
      <c r="CT43" s="211">
        <f t="shared" si="51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2"/>
        <v>1254</v>
      </c>
      <c r="DB43" s="211">
        <f t="shared" si="53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4"/>
        <v>1866</v>
      </c>
      <c r="DJ43" s="211">
        <f t="shared" si="55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6"/>
        <v>1285</v>
      </c>
      <c r="DR43" s="211">
        <f t="shared" si="57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8"/>
        <v>2248</v>
      </c>
      <c r="DZ43" s="211">
        <f t="shared" si="59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60"/>
        <v>1561</v>
      </c>
      <c r="EH43" s="211">
        <f t="shared" si="61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2"/>
        <v>606</v>
      </c>
      <c r="EP43" s="211">
        <f t="shared" si="63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4"/>
        <v>2165</v>
      </c>
      <c r="EX43" s="211">
        <f t="shared" si="65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6"/>
        <v>950</v>
      </c>
      <c r="FF43" s="211">
        <f t="shared" si="67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8"/>
        <v>1947</v>
      </c>
      <c r="FN43" s="211">
        <f t="shared" si="69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70"/>
        <v>1803</v>
      </c>
      <c r="FV43" s="211">
        <f t="shared" si="71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2"/>
        <v>2137</v>
      </c>
      <c r="GD43" s="211">
        <f t="shared" si="73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4"/>
        <v>1052</v>
      </c>
      <c r="GL43" s="211">
        <f t="shared" si="75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6"/>
        <v>886</v>
      </c>
      <c r="GT43" s="873">
        <f t="shared" si="77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8"/>
        <v>609</v>
      </c>
      <c r="HB43" s="873">
        <f t="shared" si="79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80"/>
        <v>416</v>
      </c>
      <c r="HJ43" s="873">
        <f t="shared" si="81"/>
        <v>69.333333333333329</v>
      </c>
      <c r="HK43" s="346">
        <v>1055</v>
      </c>
      <c r="HL43" s="343">
        <v>0</v>
      </c>
      <c r="HM43" s="343">
        <v>0</v>
      </c>
      <c r="HN43" s="343">
        <v>0</v>
      </c>
      <c r="HO43" s="343">
        <v>0</v>
      </c>
      <c r="HP43" s="343">
        <v>1268</v>
      </c>
      <c r="HQ43" s="872">
        <f t="shared" si="82"/>
        <v>2323</v>
      </c>
      <c r="HR43" s="873">
        <f t="shared" si="83"/>
        <v>387.16666666666669</v>
      </c>
      <c r="HS43" s="346">
        <v>0</v>
      </c>
      <c r="HT43" s="343">
        <v>0</v>
      </c>
      <c r="HU43" s="343"/>
      <c r="HV43" s="343"/>
      <c r="HW43" s="343"/>
      <c r="HX43" s="343"/>
      <c r="HY43" s="872">
        <f t="shared" si="84"/>
        <v>0</v>
      </c>
      <c r="HZ43" s="873">
        <f t="shared" si="85"/>
        <v>0</v>
      </c>
    </row>
    <row r="44" spans="1:234" s="341" customFormat="1" x14ac:dyDescent="0.2">
      <c r="A44" s="21">
        <v>33</v>
      </c>
      <c r="B44" s="297">
        <v>12907005510005</v>
      </c>
      <c r="C44" s="715" t="s">
        <v>482</v>
      </c>
      <c r="D44" s="296">
        <v>5</v>
      </c>
      <c r="E44" s="24"/>
      <c r="F44" s="24">
        <v>2435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7"/>
        <v>2435</v>
      </c>
      <c r="M44" s="15">
        <f t="shared" si="98"/>
        <v>2435</v>
      </c>
      <c r="N44" s="15">
        <v>33.333333333333336</v>
      </c>
      <c r="O44" s="276">
        <f t="shared" si="102"/>
        <v>73.05</v>
      </c>
      <c r="P44" s="15">
        <v>303</v>
      </c>
      <c r="Q44" s="711">
        <f t="shared" si="103"/>
        <v>333.33333333333331</v>
      </c>
      <c r="R44" s="276">
        <f t="shared" si="104"/>
        <v>48.21782178217822</v>
      </c>
      <c r="S44" s="712">
        <f t="shared" si="105"/>
        <v>76.92307692307692</v>
      </c>
      <c r="T44" s="713">
        <v>2000</v>
      </c>
      <c r="U44" s="276">
        <f t="shared" ref="U44" si="106">IF(S44=0,0,M44/S44)</f>
        <v>31.655000000000001</v>
      </c>
      <c r="V44" s="278"/>
      <c r="W44" s="276">
        <f t="shared" ref="W44" si="107">IF(S44=0,0,(M44+V44)/S44)</f>
        <v>31.655000000000001</v>
      </c>
      <c r="X44" s="823">
        <f t="shared" ref="X44" si="108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6"/>
        <v>525</v>
      </c>
      <c r="AP44" s="809">
        <f t="shared" si="37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8"/>
        <v>0</v>
      </c>
      <c r="AX44" s="211">
        <f t="shared" si="39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40"/>
        <v>400</v>
      </c>
      <c r="BF44" s="211">
        <f t="shared" si="41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2"/>
        <v>0</v>
      </c>
      <c r="BN44" s="211">
        <f t="shared" si="43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4"/>
        <v>0</v>
      </c>
      <c r="BV44" s="211">
        <f t="shared" si="45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6"/>
        <v>0</v>
      </c>
      <c r="CD44" s="211">
        <f t="shared" si="47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8"/>
        <v>600</v>
      </c>
      <c r="CL44" s="211">
        <f t="shared" si="49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50"/>
        <v>630</v>
      </c>
      <c r="CT44" s="211">
        <f t="shared" si="51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2"/>
        <v>0</v>
      </c>
      <c r="DB44" s="211">
        <f t="shared" si="53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4"/>
        <v>585</v>
      </c>
      <c r="DJ44" s="211">
        <f t="shared" si="55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6"/>
        <v>0</v>
      </c>
      <c r="DR44" s="211">
        <f t="shared" si="57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8"/>
        <v>600</v>
      </c>
      <c r="DZ44" s="211">
        <f t="shared" si="59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60"/>
        <v>0</v>
      </c>
      <c r="EH44" s="211">
        <f t="shared" si="61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2"/>
        <v>600</v>
      </c>
      <c r="EP44" s="211">
        <f t="shared" si="63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4"/>
        <v>200</v>
      </c>
      <c r="EX44" s="211">
        <f t="shared" si="65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6"/>
        <v>490</v>
      </c>
      <c r="FF44" s="211">
        <f t="shared" si="67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8"/>
        <v>600</v>
      </c>
      <c r="FN44" s="211">
        <f t="shared" si="69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70"/>
        <v>400</v>
      </c>
      <c r="FV44" s="211">
        <f t="shared" si="71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2"/>
        <v>0</v>
      </c>
      <c r="GD44" s="211">
        <f t="shared" si="73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4"/>
        <v>800</v>
      </c>
      <c r="GL44" s="211">
        <f t="shared" si="75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6"/>
        <v>495</v>
      </c>
      <c r="GT44" s="873">
        <f t="shared" si="77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8"/>
        <v>0</v>
      </c>
      <c r="HB44" s="873">
        <f t="shared" si="79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80"/>
        <v>590</v>
      </c>
      <c r="HJ44" s="873">
        <f t="shared" si="81"/>
        <v>98.333333333333329</v>
      </c>
      <c r="HK44" s="346">
        <v>0</v>
      </c>
      <c r="HL44" s="343">
        <v>0</v>
      </c>
      <c r="HM44" s="343">
        <v>0</v>
      </c>
      <c r="HN44" s="343">
        <v>200</v>
      </c>
      <c r="HO44" s="343">
        <v>0</v>
      </c>
      <c r="HP44" s="343">
        <v>0</v>
      </c>
      <c r="HQ44" s="872">
        <f t="shared" si="82"/>
        <v>200</v>
      </c>
      <c r="HR44" s="873">
        <f t="shared" si="83"/>
        <v>33.333333333333336</v>
      </c>
      <c r="HS44" s="346">
        <v>0</v>
      </c>
      <c r="HT44" s="343">
        <v>0</v>
      </c>
      <c r="HU44" s="343"/>
      <c r="HV44" s="343"/>
      <c r="HW44" s="343"/>
      <c r="HX44" s="343"/>
      <c r="HY44" s="872">
        <f t="shared" si="84"/>
        <v>0</v>
      </c>
      <c r="HZ44" s="873">
        <f t="shared" si="85"/>
        <v>0</v>
      </c>
    </row>
    <row r="45" spans="1:234" s="341" customFormat="1" x14ac:dyDescent="0.2">
      <c r="A45" s="21">
        <v>34</v>
      </c>
      <c r="B45" s="21" t="s">
        <v>485</v>
      </c>
      <c r="C45" s="715" t="s">
        <v>486</v>
      </c>
      <c r="D45" s="21">
        <v>25</v>
      </c>
      <c r="E45" s="24"/>
      <c r="F45" s="24">
        <v>987</v>
      </c>
      <c r="G45" s="24"/>
      <c r="H45" s="24"/>
      <c r="I45" s="24"/>
      <c r="J45" s="360">
        <f>SUMIF(SUMPK!$B:$B,$B:$B,SUMPK!$O:$O)</f>
        <v>0</v>
      </c>
      <c r="K45" s="24"/>
      <c r="L45" s="24">
        <f t="shared" si="97"/>
        <v>987</v>
      </c>
      <c r="M45" s="15">
        <f t="shared" si="98"/>
        <v>987</v>
      </c>
      <c r="N45" s="15">
        <v>6.666666666666667</v>
      </c>
      <c r="O45" s="276">
        <f t="shared" si="28"/>
        <v>148.04999999999998</v>
      </c>
      <c r="P45" s="15"/>
      <c r="Q45" s="711"/>
      <c r="R45" s="276"/>
      <c r="S45" s="712">
        <f t="shared" si="31"/>
        <v>0</v>
      </c>
      <c r="T45" s="713"/>
      <c r="U45" s="276"/>
      <c r="V45" s="278"/>
      <c r="W45" s="276">
        <f t="shared" si="33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6"/>
        <v>105</v>
      </c>
      <c r="AP45" s="809">
        <f t="shared" si="37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8"/>
        <v>0</v>
      </c>
      <c r="AX45" s="211">
        <f t="shared" si="39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40"/>
        <v>80</v>
      </c>
      <c r="BF45" s="211">
        <f t="shared" si="41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2"/>
        <v>0</v>
      </c>
      <c r="BN45" s="211">
        <f t="shared" si="43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4"/>
        <v>0</v>
      </c>
      <c r="BV45" s="211">
        <f t="shared" si="45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6"/>
        <v>0</v>
      </c>
      <c r="CD45" s="211">
        <f t="shared" si="47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8"/>
        <v>120</v>
      </c>
      <c r="CL45" s="211">
        <f t="shared" si="49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50"/>
        <v>126</v>
      </c>
      <c r="CT45" s="211">
        <f t="shared" si="51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2"/>
        <v>0</v>
      </c>
      <c r="DB45" s="211">
        <f t="shared" si="53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4"/>
        <v>117</v>
      </c>
      <c r="DJ45" s="211">
        <f t="shared" si="55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6"/>
        <v>0</v>
      </c>
      <c r="DR45" s="211">
        <f t="shared" si="57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8"/>
        <v>120</v>
      </c>
      <c r="DZ45" s="211">
        <f t="shared" si="59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60"/>
        <v>0</v>
      </c>
      <c r="EH45" s="211">
        <f t="shared" si="61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2"/>
        <v>120</v>
      </c>
      <c r="EP45" s="211">
        <f t="shared" si="63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4"/>
        <v>40</v>
      </c>
      <c r="EX45" s="211">
        <f t="shared" si="65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6"/>
        <v>98</v>
      </c>
      <c r="FF45" s="211">
        <f t="shared" si="67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8"/>
        <v>120</v>
      </c>
      <c r="FN45" s="211">
        <f t="shared" si="69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70"/>
        <v>80</v>
      </c>
      <c r="FV45" s="211">
        <f t="shared" si="71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2"/>
        <v>0</v>
      </c>
      <c r="GD45" s="211">
        <f t="shared" si="73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4"/>
        <v>160</v>
      </c>
      <c r="GL45" s="211">
        <f t="shared" si="75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6"/>
        <v>99</v>
      </c>
      <c r="GT45" s="873">
        <f t="shared" si="77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8"/>
        <v>0</v>
      </c>
      <c r="HB45" s="873">
        <f t="shared" si="79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80"/>
        <v>118</v>
      </c>
      <c r="HJ45" s="873">
        <f t="shared" si="81"/>
        <v>19.666666666666668</v>
      </c>
      <c r="HK45" s="346">
        <v>0</v>
      </c>
      <c r="HL45" s="343">
        <v>0</v>
      </c>
      <c r="HM45" s="343">
        <v>0</v>
      </c>
      <c r="HN45" s="343">
        <v>40</v>
      </c>
      <c r="HO45" s="343">
        <v>0</v>
      </c>
      <c r="HP45" s="343">
        <v>0</v>
      </c>
      <c r="HQ45" s="872">
        <f t="shared" si="82"/>
        <v>40</v>
      </c>
      <c r="HR45" s="873">
        <f t="shared" si="83"/>
        <v>6.666666666666667</v>
      </c>
      <c r="HS45" s="346">
        <v>0</v>
      </c>
      <c r="HT45" s="343">
        <v>0</v>
      </c>
      <c r="HU45" s="343"/>
      <c r="HV45" s="343"/>
      <c r="HW45" s="343"/>
      <c r="HX45" s="343"/>
      <c r="HY45" s="872">
        <f t="shared" si="84"/>
        <v>0</v>
      </c>
      <c r="HZ45" s="873">
        <f t="shared" si="85"/>
        <v>0</v>
      </c>
    </row>
    <row r="46" spans="1:234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3409</v>
      </c>
      <c r="G46" s="24"/>
      <c r="H46" s="24"/>
      <c r="I46" s="360"/>
      <c r="J46" s="360">
        <f>SUMIF(SUMPK!$B:$B,$B:$B,SUMPK!$O:$O)</f>
        <v>0</v>
      </c>
      <c r="K46" s="24"/>
      <c r="L46" s="24">
        <f t="shared" si="97"/>
        <v>3409</v>
      </c>
      <c r="M46" s="15">
        <f t="shared" si="98"/>
        <v>3409</v>
      </c>
      <c r="N46" s="15">
        <v>502.5</v>
      </c>
      <c r="O46" s="276">
        <f t="shared" si="28"/>
        <v>6.78407960199005</v>
      </c>
      <c r="P46" s="15">
        <v>219</v>
      </c>
      <c r="Q46" s="711">
        <f>T46/$Q$8</f>
        <v>1066.6666666666667</v>
      </c>
      <c r="R46" s="276">
        <f t="shared" si="30"/>
        <v>93.397260273972591</v>
      </c>
      <c r="S46" s="712">
        <f t="shared" si="31"/>
        <v>246.15384615384616</v>
      </c>
      <c r="T46" s="713">
        <v>6400</v>
      </c>
      <c r="U46" s="276">
        <f t="shared" si="92"/>
        <v>13.8490625</v>
      </c>
      <c r="V46" s="278"/>
      <c r="W46" s="276">
        <f t="shared" si="33"/>
        <v>13.8490625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4"/>
        <v>4317</v>
      </c>
      <c r="AH46" s="211">
        <f t="shared" si="35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6"/>
        <v>2267</v>
      </c>
      <c r="AP46" s="809">
        <f t="shared" si="37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8"/>
        <v>2458</v>
      </c>
      <c r="AX46" s="211">
        <f t="shared" si="39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40"/>
        <v>3376</v>
      </c>
      <c r="BF46" s="211">
        <f t="shared" si="41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2"/>
        <v>339</v>
      </c>
      <c r="BN46" s="211">
        <f t="shared" si="43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4"/>
        <v>3765</v>
      </c>
      <c r="BV46" s="211">
        <f t="shared" si="45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6"/>
        <v>1747</v>
      </c>
      <c r="CD46" s="211">
        <f t="shared" si="47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8"/>
        <v>1294</v>
      </c>
      <c r="CL46" s="211">
        <f t="shared" si="49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50"/>
        <v>4279</v>
      </c>
      <c r="CT46" s="211">
        <f t="shared" si="51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2"/>
        <v>4411</v>
      </c>
      <c r="DB46" s="211">
        <f t="shared" si="53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4"/>
        <v>3160</v>
      </c>
      <c r="DJ46" s="211">
        <f t="shared" si="55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6"/>
        <v>4853</v>
      </c>
      <c r="DR46" s="211">
        <f t="shared" si="57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8"/>
        <v>3634</v>
      </c>
      <c r="DZ46" s="211">
        <f t="shared" si="59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60"/>
        <v>3643</v>
      </c>
      <c r="EH46" s="211">
        <f t="shared" si="61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2"/>
        <v>3333</v>
      </c>
      <c r="EP46" s="211">
        <f t="shared" si="63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4"/>
        <v>3867</v>
      </c>
      <c r="EX46" s="211">
        <f t="shared" si="65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6"/>
        <v>2918</v>
      </c>
      <c r="FF46" s="211">
        <f t="shared" si="67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8"/>
        <v>2508</v>
      </c>
      <c r="FN46" s="211">
        <f t="shared" si="69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70"/>
        <v>2443</v>
      </c>
      <c r="FV46" s="211">
        <f t="shared" si="71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2"/>
        <v>2247</v>
      </c>
      <c r="GD46" s="211">
        <f t="shared" si="73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4"/>
        <v>2042</v>
      </c>
      <c r="GL46" s="211">
        <f t="shared" si="75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6"/>
        <v>2195</v>
      </c>
      <c r="GT46" s="873">
        <f t="shared" si="77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8"/>
        <v>3248</v>
      </c>
      <c r="HB46" s="873">
        <f t="shared" si="79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80"/>
        <v>1832</v>
      </c>
      <c r="HJ46" s="873">
        <f t="shared" si="81"/>
        <v>305.33333333333331</v>
      </c>
      <c r="HK46" s="346">
        <v>1633</v>
      </c>
      <c r="HL46" s="343">
        <v>955</v>
      </c>
      <c r="HM46" s="343">
        <v>0</v>
      </c>
      <c r="HN46" s="343">
        <v>427</v>
      </c>
      <c r="HO46" s="343">
        <v>0</v>
      </c>
      <c r="HP46" s="343">
        <v>0</v>
      </c>
      <c r="HQ46" s="872">
        <f t="shared" si="82"/>
        <v>3015</v>
      </c>
      <c r="HR46" s="873">
        <f t="shared" si="83"/>
        <v>502.5</v>
      </c>
      <c r="HS46" s="346">
        <v>584</v>
      </c>
      <c r="HT46" s="343">
        <v>1744</v>
      </c>
      <c r="HU46" s="343"/>
      <c r="HV46" s="343"/>
      <c r="HW46" s="343"/>
      <c r="HX46" s="343"/>
      <c r="HY46" s="872">
        <f t="shared" si="84"/>
        <v>2328</v>
      </c>
      <c r="HZ46" s="873">
        <f t="shared" si="85"/>
        <v>388</v>
      </c>
    </row>
    <row r="47" spans="1:234" s="323" customFormat="1" x14ac:dyDescent="0.2">
      <c r="A47" s="21">
        <v>36</v>
      </c>
      <c r="B47" s="21" t="s">
        <v>523</v>
      </c>
      <c r="C47" s="275" t="s">
        <v>526</v>
      </c>
      <c r="D47" s="21">
        <v>25</v>
      </c>
      <c r="E47" s="24"/>
      <c r="F47" s="24">
        <v>136</v>
      </c>
      <c r="G47" s="24"/>
      <c r="H47" s="24"/>
      <c r="I47" s="360"/>
      <c r="J47" s="360">
        <f>SUMIF(SUMPK!$B:$B,$B:$B,SUMPK!$O:$O)</f>
        <v>0</v>
      </c>
      <c r="K47" s="24"/>
      <c r="L47" s="24">
        <f t="shared" si="97"/>
        <v>136</v>
      </c>
      <c r="M47" s="15">
        <f t="shared" si="98"/>
        <v>136</v>
      </c>
      <c r="N47" s="15">
        <v>0</v>
      </c>
      <c r="O47" s="276"/>
      <c r="P47" s="15"/>
      <c r="Q47" s="711">
        <f>T47/$Q$8</f>
        <v>160</v>
      </c>
      <c r="R47" s="276"/>
      <c r="S47" s="712">
        <f t="shared" si="31"/>
        <v>36.92307692307692</v>
      </c>
      <c r="T47" s="713">
        <v>960</v>
      </c>
      <c r="U47" s="276">
        <f t="shared" si="92"/>
        <v>3.6833333333333336</v>
      </c>
      <c r="V47" s="278"/>
      <c r="W47" s="276">
        <f t="shared" si="33"/>
        <v>3.6833333333333336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6"/>
        <v>0</v>
      </c>
      <c r="GT47" s="873">
        <f t="shared" si="77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8"/>
        <v>0</v>
      </c>
      <c r="HB47" s="873">
        <f t="shared" si="79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80"/>
        <v>311</v>
      </c>
      <c r="HJ47" s="873">
        <f t="shared" si="81"/>
        <v>51.833333333333336</v>
      </c>
      <c r="HK47" s="346">
        <v>0</v>
      </c>
      <c r="HL47" s="343">
        <v>0</v>
      </c>
      <c r="HM47" s="343">
        <v>0</v>
      </c>
      <c r="HN47" s="343">
        <v>0</v>
      </c>
      <c r="HO47" s="343">
        <v>0</v>
      </c>
      <c r="HP47" s="343">
        <v>0</v>
      </c>
      <c r="HQ47" s="872">
        <f t="shared" si="82"/>
        <v>0</v>
      </c>
      <c r="HR47" s="873">
        <f t="shared" si="83"/>
        <v>0</v>
      </c>
      <c r="HS47" s="346">
        <v>627</v>
      </c>
      <c r="HT47" s="343">
        <v>627</v>
      </c>
      <c r="HU47" s="343"/>
      <c r="HV47" s="343"/>
      <c r="HW47" s="343"/>
      <c r="HX47" s="343"/>
      <c r="HY47" s="872">
        <f t="shared" si="84"/>
        <v>1254</v>
      </c>
      <c r="HZ47" s="873">
        <f t="shared" si="85"/>
        <v>209</v>
      </c>
    </row>
    <row r="48" spans="1:234" s="323" customFormat="1" x14ac:dyDescent="0.2">
      <c r="A48" s="21">
        <v>37</v>
      </c>
      <c r="B48" s="21" t="s">
        <v>168</v>
      </c>
      <c r="C48" s="715" t="s">
        <v>300</v>
      </c>
      <c r="D48" s="21">
        <v>25</v>
      </c>
      <c r="E48" s="24"/>
      <c r="F48" s="24">
        <v>8596</v>
      </c>
      <c r="G48" s="24"/>
      <c r="H48" s="24"/>
      <c r="I48" s="24"/>
      <c r="J48" s="360">
        <f>SUMIF(SUMPK!$B:$B,$B:$B,SUMPK!$O:$O)</f>
        <v>920</v>
      </c>
      <c r="K48" s="24"/>
      <c r="L48" s="24">
        <f t="shared" si="97"/>
        <v>7676</v>
      </c>
      <c r="M48" s="15">
        <f t="shared" si="98"/>
        <v>7676</v>
      </c>
      <c r="N48" s="15">
        <v>81</v>
      </c>
      <c r="O48" s="276">
        <f t="shared" si="28"/>
        <v>94.76543209876543</v>
      </c>
      <c r="P48" s="15">
        <v>106.66666666666667</v>
      </c>
      <c r="Q48" s="711">
        <f>T48/$Q$8</f>
        <v>1066.6666666666667</v>
      </c>
      <c r="R48" s="276">
        <f t="shared" si="30"/>
        <v>431.77499999999998</v>
      </c>
      <c r="S48" s="712">
        <f t="shared" si="31"/>
        <v>246.15384615384616</v>
      </c>
      <c r="T48" s="713">
        <v>6400</v>
      </c>
      <c r="U48" s="276">
        <f t="shared" si="92"/>
        <v>31.18375</v>
      </c>
      <c r="V48" s="278"/>
      <c r="W48" s="276">
        <f t="shared" si="33"/>
        <v>31.18375</v>
      </c>
      <c r="X48" s="823">
        <f t="shared" si="0"/>
        <v>1</v>
      </c>
      <c r="Y48" s="305">
        <v>19</v>
      </c>
      <c r="Z48" s="824"/>
      <c r="AA48" s="244">
        <v>56</v>
      </c>
      <c r="AB48" s="64">
        <v>604</v>
      </c>
      <c r="AC48" s="64">
        <v>0</v>
      </c>
      <c r="AD48" s="64">
        <v>0</v>
      </c>
      <c r="AE48" s="64">
        <v>0</v>
      </c>
      <c r="AF48" s="64">
        <v>1221</v>
      </c>
      <c r="AG48" s="64">
        <f t="shared" si="34"/>
        <v>1881</v>
      </c>
      <c r="AH48" s="211">
        <f t="shared" si="35"/>
        <v>313.5</v>
      </c>
      <c r="AI48" s="755">
        <v>0</v>
      </c>
      <c r="AJ48" s="345">
        <v>0</v>
      </c>
      <c r="AK48" s="345">
        <v>0</v>
      </c>
      <c r="AL48" s="345">
        <v>923</v>
      </c>
      <c r="AM48" s="345">
        <v>0</v>
      </c>
      <c r="AN48" s="345">
        <v>0</v>
      </c>
      <c r="AO48" s="808">
        <f t="shared" si="36"/>
        <v>923</v>
      </c>
      <c r="AP48" s="809">
        <f t="shared" si="37"/>
        <v>153.83333333333334</v>
      </c>
      <c r="AQ48" s="814">
        <v>0</v>
      </c>
      <c r="AR48" s="815">
        <v>0</v>
      </c>
      <c r="AS48" s="815">
        <v>810</v>
      </c>
      <c r="AT48" s="815">
        <v>0</v>
      </c>
      <c r="AU48" s="815">
        <v>0</v>
      </c>
      <c r="AV48" s="815">
        <v>611</v>
      </c>
      <c r="AW48" s="808">
        <f t="shared" si="38"/>
        <v>1421</v>
      </c>
      <c r="AX48" s="211">
        <f t="shared" si="39"/>
        <v>236.83333333333334</v>
      </c>
      <c r="AY48" s="346">
        <v>0</v>
      </c>
      <c r="AZ48" s="343">
        <v>0</v>
      </c>
      <c r="BA48" s="343">
        <v>905</v>
      </c>
      <c r="BB48" s="343">
        <v>0</v>
      </c>
      <c r="BC48" s="343">
        <v>0</v>
      </c>
      <c r="BD48" s="343">
        <v>0</v>
      </c>
      <c r="BE48" s="808">
        <f t="shared" si="40"/>
        <v>905</v>
      </c>
      <c r="BF48" s="211">
        <f t="shared" si="41"/>
        <v>150.83333333333334</v>
      </c>
      <c r="BG48" s="814">
        <v>0</v>
      </c>
      <c r="BH48" s="815">
        <v>0</v>
      </c>
      <c r="BI48" s="815">
        <v>0</v>
      </c>
      <c r="BJ48" s="815">
        <v>0</v>
      </c>
      <c r="BK48" s="815">
        <v>576</v>
      </c>
      <c r="BL48" s="815">
        <v>0</v>
      </c>
      <c r="BM48" s="808">
        <f t="shared" si="42"/>
        <v>576</v>
      </c>
      <c r="BN48" s="211">
        <f t="shared" si="43"/>
        <v>96</v>
      </c>
      <c r="BO48" s="755">
        <v>0</v>
      </c>
      <c r="BP48" s="345">
        <v>1053</v>
      </c>
      <c r="BQ48" s="345">
        <v>0</v>
      </c>
      <c r="BR48" s="345">
        <v>8</v>
      </c>
      <c r="BS48" s="345">
        <v>0</v>
      </c>
      <c r="BT48" s="345">
        <v>0</v>
      </c>
      <c r="BU48" s="808">
        <f t="shared" si="44"/>
        <v>1061</v>
      </c>
      <c r="BV48" s="211">
        <f t="shared" si="45"/>
        <v>176.83333333333334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622</v>
      </c>
      <c r="CC48" s="808">
        <f t="shared" si="46"/>
        <v>622</v>
      </c>
      <c r="CD48" s="211">
        <f t="shared" si="47"/>
        <v>103.66666666666667</v>
      </c>
      <c r="CE48" s="346">
        <v>0</v>
      </c>
      <c r="CF48" s="343">
        <v>0</v>
      </c>
      <c r="CG48" s="343">
        <v>0</v>
      </c>
      <c r="CH48" s="343">
        <v>0</v>
      </c>
      <c r="CI48" s="343">
        <v>0</v>
      </c>
      <c r="CJ48" s="343">
        <v>0</v>
      </c>
      <c r="CK48" s="808">
        <f t="shared" si="48"/>
        <v>0</v>
      </c>
      <c r="CL48" s="211">
        <f t="shared" si="49"/>
        <v>0</v>
      </c>
      <c r="CM48" s="346">
        <v>0</v>
      </c>
      <c r="CN48" s="343">
        <v>420</v>
      </c>
      <c r="CO48" s="343">
        <v>0</v>
      </c>
      <c r="CP48" s="343">
        <v>0</v>
      </c>
      <c r="CQ48" s="343">
        <v>595</v>
      </c>
      <c r="CR48" s="343">
        <v>0</v>
      </c>
      <c r="CS48" s="808">
        <f t="shared" si="50"/>
        <v>1015</v>
      </c>
      <c r="CT48" s="211">
        <f t="shared" si="51"/>
        <v>169.16666666666666</v>
      </c>
      <c r="CU48" s="346">
        <v>0</v>
      </c>
      <c r="CV48" s="343">
        <v>0</v>
      </c>
      <c r="CW48" s="343">
        <v>0</v>
      </c>
      <c r="CX48" s="343">
        <v>510</v>
      </c>
      <c r="CY48" s="343">
        <v>0</v>
      </c>
      <c r="CZ48" s="343">
        <v>0</v>
      </c>
      <c r="DA48" s="808">
        <f t="shared" si="52"/>
        <v>510</v>
      </c>
      <c r="DB48" s="211">
        <f t="shared" si="53"/>
        <v>85</v>
      </c>
      <c r="DC48" s="346">
        <v>0</v>
      </c>
      <c r="DD48" s="343">
        <v>599</v>
      </c>
      <c r="DE48" s="343">
        <v>0</v>
      </c>
      <c r="DF48" s="343">
        <v>119</v>
      </c>
      <c r="DG48" s="343"/>
      <c r="DH48" s="343">
        <v>0</v>
      </c>
      <c r="DI48" s="808">
        <f t="shared" si="54"/>
        <v>718</v>
      </c>
      <c r="DJ48" s="211">
        <f t="shared" si="55"/>
        <v>119.66666666666667</v>
      </c>
      <c r="DK48" s="346">
        <v>0</v>
      </c>
      <c r="DL48" s="343">
        <v>623</v>
      </c>
      <c r="DM48" s="343">
        <v>0</v>
      </c>
      <c r="DN48" s="343">
        <v>0</v>
      </c>
      <c r="DO48" s="343">
        <v>612</v>
      </c>
      <c r="DP48" s="343">
        <v>0</v>
      </c>
      <c r="DQ48" s="808">
        <f t="shared" si="56"/>
        <v>1235</v>
      </c>
      <c r="DR48" s="211">
        <f t="shared" si="57"/>
        <v>205.83333333333334</v>
      </c>
      <c r="DS48" s="346">
        <v>0</v>
      </c>
      <c r="DT48" s="343">
        <v>0</v>
      </c>
      <c r="DU48" s="343">
        <v>0</v>
      </c>
      <c r="DV48" s="343">
        <v>0</v>
      </c>
      <c r="DW48" s="343">
        <v>693</v>
      </c>
      <c r="DX48" s="343">
        <v>0</v>
      </c>
      <c r="DY48" s="808">
        <f t="shared" si="58"/>
        <v>693</v>
      </c>
      <c r="DZ48" s="211">
        <f t="shared" si="59"/>
        <v>115.5</v>
      </c>
      <c r="EA48" s="346">
        <v>0</v>
      </c>
      <c r="EB48" s="343">
        <v>606</v>
      </c>
      <c r="EC48" s="343"/>
      <c r="ED48" s="343">
        <v>0</v>
      </c>
      <c r="EE48" s="343">
        <v>0</v>
      </c>
      <c r="EF48" s="343">
        <v>606</v>
      </c>
      <c r="EG48" s="808">
        <f t="shared" si="60"/>
        <v>1212</v>
      </c>
      <c r="EH48" s="211">
        <f t="shared" si="61"/>
        <v>202</v>
      </c>
      <c r="EI48" s="346">
        <v>0</v>
      </c>
      <c r="EJ48" s="343">
        <v>0</v>
      </c>
      <c r="EK48" s="343">
        <v>0</v>
      </c>
      <c r="EL48" s="343">
        <v>1640</v>
      </c>
      <c r="EM48" s="343">
        <v>0</v>
      </c>
      <c r="EN48" s="343">
        <v>0</v>
      </c>
      <c r="EO48" s="808">
        <f t="shared" si="62"/>
        <v>1640</v>
      </c>
      <c r="EP48" s="211">
        <f t="shared" si="63"/>
        <v>273.33333333333331</v>
      </c>
      <c r="EQ48" s="346">
        <v>0</v>
      </c>
      <c r="ER48" s="343">
        <v>642</v>
      </c>
      <c r="ES48" s="343">
        <v>0</v>
      </c>
      <c r="ET48" s="343">
        <v>712</v>
      </c>
      <c r="EU48" s="343">
        <v>0</v>
      </c>
      <c r="EV48" s="343">
        <v>0</v>
      </c>
      <c r="EW48" s="808">
        <f t="shared" si="64"/>
        <v>1354</v>
      </c>
      <c r="EX48" s="211">
        <f t="shared" si="65"/>
        <v>225.66666666666666</v>
      </c>
      <c r="EY48" s="346">
        <v>0</v>
      </c>
      <c r="EZ48" s="343">
        <v>0</v>
      </c>
      <c r="FA48" s="343">
        <v>54</v>
      </c>
      <c r="FB48" s="343">
        <v>0</v>
      </c>
      <c r="FC48" s="343">
        <v>110</v>
      </c>
      <c r="FD48" s="343">
        <v>502</v>
      </c>
      <c r="FE48" s="808">
        <f t="shared" si="66"/>
        <v>666</v>
      </c>
      <c r="FF48" s="211">
        <f t="shared" si="67"/>
        <v>111</v>
      </c>
      <c r="FG48" s="755">
        <v>0</v>
      </c>
      <c r="FH48" s="345">
        <v>0</v>
      </c>
      <c r="FI48" s="345">
        <v>657</v>
      </c>
      <c r="FJ48" s="345">
        <v>0</v>
      </c>
      <c r="FK48" s="345">
        <v>0</v>
      </c>
      <c r="FL48" s="345">
        <v>0</v>
      </c>
      <c r="FM48" s="808">
        <f t="shared" si="68"/>
        <v>657</v>
      </c>
      <c r="FN48" s="211">
        <f t="shared" si="69"/>
        <v>109.5</v>
      </c>
      <c r="FO48" s="346">
        <v>0</v>
      </c>
      <c r="FP48" s="343">
        <v>0</v>
      </c>
      <c r="FQ48" s="343">
        <v>936</v>
      </c>
      <c r="FR48" s="343">
        <v>0</v>
      </c>
      <c r="FS48" s="343">
        <v>0</v>
      </c>
      <c r="FT48" s="343">
        <v>0</v>
      </c>
      <c r="FU48" s="808">
        <f t="shared" si="70"/>
        <v>936</v>
      </c>
      <c r="FV48" s="211">
        <f t="shared" si="71"/>
        <v>156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2"/>
        <v>0</v>
      </c>
      <c r="GD48" s="211">
        <f t="shared" si="73"/>
        <v>0</v>
      </c>
      <c r="GE48" s="346">
        <v>0</v>
      </c>
      <c r="GF48" s="343">
        <v>983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4"/>
        <v>983</v>
      </c>
      <c r="GL48" s="211">
        <f t="shared" si="75"/>
        <v>163.83333333333334</v>
      </c>
      <c r="GM48" s="755">
        <v>754</v>
      </c>
      <c r="GN48" s="345">
        <v>0</v>
      </c>
      <c r="GO48" s="345">
        <v>0</v>
      </c>
      <c r="GP48" s="345">
        <v>0</v>
      </c>
      <c r="GQ48" s="345">
        <v>951</v>
      </c>
      <c r="GR48" s="345">
        <v>0</v>
      </c>
      <c r="GS48" s="872">
        <f t="shared" si="76"/>
        <v>1705</v>
      </c>
      <c r="GT48" s="873">
        <f t="shared" si="77"/>
        <v>284.16666666666669</v>
      </c>
      <c r="GU48" s="346">
        <v>0</v>
      </c>
      <c r="GV48" s="343">
        <v>490</v>
      </c>
      <c r="GW48" s="343">
        <v>0</v>
      </c>
      <c r="GX48" s="343">
        <v>0</v>
      </c>
      <c r="GY48" s="343">
        <v>0</v>
      </c>
      <c r="GZ48" s="343">
        <v>305</v>
      </c>
      <c r="HA48" s="872">
        <f t="shared" si="78"/>
        <v>795</v>
      </c>
      <c r="HB48" s="873">
        <f t="shared" si="79"/>
        <v>132.5</v>
      </c>
      <c r="HC48" s="346">
        <v>0</v>
      </c>
      <c r="HD48" s="343">
        <v>227</v>
      </c>
      <c r="HE48" s="343">
        <v>0</v>
      </c>
      <c r="HF48" s="343">
        <v>0</v>
      </c>
      <c r="HG48" s="343">
        <v>0</v>
      </c>
      <c r="HH48" s="343">
        <v>1044</v>
      </c>
      <c r="HI48" s="872">
        <f t="shared" si="80"/>
        <v>1271</v>
      </c>
      <c r="HJ48" s="873">
        <f t="shared" si="81"/>
        <v>211.83333333333334</v>
      </c>
      <c r="HK48" s="346">
        <v>0</v>
      </c>
      <c r="HL48" s="343">
        <v>0</v>
      </c>
      <c r="HM48" s="343">
        <v>0</v>
      </c>
      <c r="HN48" s="343">
        <v>0</v>
      </c>
      <c r="HO48" s="343">
        <v>0</v>
      </c>
      <c r="HP48" s="343">
        <v>486</v>
      </c>
      <c r="HQ48" s="872">
        <f t="shared" si="82"/>
        <v>486</v>
      </c>
      <c r="HR48" s="873">
        <f t="shared" si="83"/>
        <v>81</v>
      </c>
      <c r="HS48" s="346">
        <v>0</v>
      </c>
      <c r="HT48" s="343">
        <v>0</v>
      </c>
      <c r="HU48" s="343"/>
      <c r="HV48" s="343"/>
      <c r="HW48" s="343"/>
      <c r="HX48" s="343"/>
      <c r="HY48" s="872">
        <f t="shared" si="84"/>
        <v>0</v>
      </c>
      <c r="HZ48" s="873">
        <f t="shared" si="85"/>
        <v>0</v>
      </c>
    </row>
    <row r="49" spans="1:234" s="323" customFormat="1" ht="15" customHeight="1" x14ac:dyDescent="0.2">
      <c r="A49" s="21">
        <v>38</v>
      </c>
      <c r="B49" s="21" t="s">
        <v>85</v>
      </c>
      <c r="C49" s="275" t="s">
        <v>86</v>
      </c>
      <c r="D49" s="21">
        <v>25</v>
      </c>
      <c r="E49" s="24"/>
      <c r="F49" s="24">
        <v>5043</v>
      </c>
      <c r="G49" s="24"/>
      <c r="H49" s="24"/>
      <c r="I49" s="360"/>
      <c r="J49" s="360">
        <f>SUMIF(SUMPK!$B:$B,$B:$B,SUMPK!$O:$O)</f>
        <v>368</v>
      </c>
      <c r="K49" s="24"/>
      <c r="L49" s="24">
        <f t="shared" si="97"/>
        <v>4675</v>
      </c>
      <c r="M49" s="15">
        <f t="shared" si="98"/>
        <v>4675</v>
      </c>
      <c r="N49" s="15">
        <v>51.166666666666664</v>
      </c>
      <c r="O49" s="276">
        <f t="shared" si="28"/>
        <v>91.368078175895775</v>
      </c>
      <c r="P49" s="15">
        <v>125.16666666666667</v>
      </c>
      <c r="Q49" s="711">
        <f t="shared" si="29"/>
        <v>800</v>
      </c>
      <c r="R49" s="276">
        <f t="shared" si="30"/>
        <v>224.10119840213048</v>
      </c>
      <c r="S49" s="712">
        <f t="shared" si="31"/>
        <v>184.61538461538461</v>
      </c>
      <c r="T49" s="713">
        <v>4800</v>
      </c>
      <c r="U49" s="276">
        <f t="shared" si="92"/>
        <v>25.322916666666668</v>
      </c>
      <c r="V49" s="278"/>
      <c r="W49" s="276">
        <f t="shared" si="33"/>
        <v>25.322916666666668</v>
      </c>
      <c r="X49" s="823">
        <f t="shared" si="0"/>
        <v>1</v>
      </c>
      <c r="Y49" s="305">
        <v>19</v>
      </c>
      <c r="Z49" s="824"/>
      <c r="AA49" s="244">
        <v>351</v>
      </c>
      <c r="AB49" s="64">
        <v>0</v>
      </c>
      <c r="AC49" s="64">
        <v>0</v>
      </c>
      <c r="AD49" s="64">
        <v>528</v>
      </c>
      <c r="AE49" s="64">
        <v>1086</v>
      </c>
      <c r="AF49" s="64">
        <v>0</v>
      </c>
      <c r="AG49" s="64">
        <f t="shared" si="34"/>
        <v>1965</v>
      </c>
      <c r="AH49" s="211">
        <f t="shared" si="35"/>
        <v>327.5</v>
      </c>
      <c r="AI49" s="755">
        <v>0</v>
      </c>
      <c r="AJ49" s="345">
        <v>1337</v>
      </c>
      <c r="AK49" s="345">
        <v>1367</v>
      </c>
      <c r="AL49" s="345">
        <v>0</v>
      </c>
      <c r="AM49" s="345">
        <v>0</v>
      </c>
      <c r="AN49" s="345">
        <v>0</v>
      </c>
      <c r="AO49" s="808">
        <f t="shared" si="36"/>
        <v>2704</v>
      </c>
      <c r="AP49" s="809">
        <f t="shared" si="37"/>
        <v>450.66666666666669</v>
      </c>
      <c r="AQ49" s="814">
        <v>0</v>
      </c>
      <c r="AR49" s="815">
        <v>0</v>
      </c>
      <c r="AS49" s="815">
        <v>920</v>
      </c>
      <c r="AT49" s="815">
        <v>284</v>
      </c>
      <c r="AU49" s="815">
        <v>0</v>
      </c>
      <c r="AV49" s="815">
        <v>0</v>
      </c>
      <c r="AW49" s="808">
        <f t="shared" si="38"/>
        <v>1204</v>
      </c>
      <c r="AX49" s="211">
        <f t="shared" si="39"/>
        <v>200.66666666666666</v>
      </c>
      <c r="AY49" s="346">
        <v>0</v>
      </c>
      <c r="AZ49" s="343">
        <v>0</v>
      </c>
      <c r="BA49" s="343">
        <v>871</v>
      </c>
      <c r="BB49" s="343">
        <v>1107</v>
      </c>
      <c r="BC49" s="343">
        <v>0</v>
      </c>
      <c r="BD49" s="343">
        <v>110</v>
      </c>
      <c r="BE49" s="808">
        <f t="shared" si="40"/>
        <v>2088</v>
      </c>
      <c r="BF49" s="211">
        <f t="shared" si="41"/>
        <v>348</v>
      </c>
      <c r="BG49" s="814">
        <v>1152</v>
      </c>
      <c r="BH49" s="815">
        <v>0</v>
      </c>
      <c r="BI49" s="815">
        <v>0</v>
      </c>
      <c r="BJ49" s="815">
        <v>0</v>
      </c>
      <c r="BK49" s="815">
        <v>0</v>
      </c>
      <c r="BL49" s="815">
        <v>0</v>
      </c>
      <c r="BM49" s="808">
        <f t="shared" si="42"/>
        <v>1152</v>
      </c>
      <c r="BN49" s="211">
        <f t="shared" si="43"/>
        <v>192</v>
      </c>
      <c r="BO49" s="755">
        <v>0</v>
      </c>
      <c r="BP49" s="345">
        <v>0</v>
      </c>
      <c r="BQ49" s="345">
        <v>601</v>
      </c>
      <c r="BR49" s="345">
        <v>82</v>
      </c>
      <c r="BS49" s="345">
        <v>0</v>
      </c>
      <c r="BT49" s="345">
        <v>0</v>
      </c>
      <c r="BU49" s="808">
        <f t="shared" si="44"/>
        <v>683</v>
      </c>
      <c r="BV49" s="211">
        <f t="shared" si="45"/>
        <v>113.83333333333333</v>
      </c>
      <c r="BW49" s="755">
        <v>0</v>
      </c>
      <c r="BX49" s="345">
        <v>860</v>
      </c>
      <c r="BY49" s="345">
        <v>0</v>
      </c>
      <c r="BZ49" s="345">
        <v>206</v>
      </c>
      <c r="CA49" s="345">
        <v>0</v>
      </c>
      <c r="CB49" s="345">
        <v>902</v>
      </c>
      <c r="CC49" s="808">
        <f t="shared" si="46"/>
        <v>1968</v>
      </c>
      <c r="CD49" s="211">
        <f t="shared" si="47"/>
        <v>328</v>
      </c>
      <c r="CE49" s="346">
        <v>109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8"/>
        <v>109</v>
      </c>
      <c r="CL49" s="211">
        <f t="shared" si="49"/>
        <v>18.166666666666668</v>
      </c>
      <c r="CM49" s="346">
        <v>280</v>
      </c>
      <c r="CN49" s="343">
        <v>0</v>
      </c>
      <c r="CO49" s="343">
        <v>0</v>
      </c>
      <c r="CP49" s="343">
        <v>605</v>
      </c>
      <c r="CQ49" s="343">
        <v>0</v>
      </c>
      <c r="CR49" s="343">
        <v>582</v>
      </c>
      <c r="CS49" s="808">
        <f t="shared" si="50"/>
        <v>1467</v>
      </c>
      <c r="CT49" s="211">
        <f t="shared" si="51"/>
        <v>244.5</v>
      </c>
      <c r="CU49" s="346">
        <v>0</v>
      </c>
      <c r="CV49" s="343">
        <v>0</v>
      </c>
      <c r="CW49" s="343">
        <v>894</v>
      </c>
      <c r="CX49" s="343">
        <v>0</v>
      </c>
      <c r="CY49" s="343">
        <v>0</v>
      </c>
      <c r="CZ49" s="343">
        <v>0</v>
      </c>
      <c r="DA49" s="808">
        <f t="shared" si="52"/>
        <v>894</v>
      </c>
      <c r="DB49" s="211">
        <f t="shared" si="53"/>
        <v>149</v>
      </c>
      <c r="DC49" s="346">
        <v>0</v>
      </c>
      <c r="DD49" s="343">
        <v>0</v>
      </c>
      <c r="DE49" s="343">
        <v>0</v>
      </c>
      <c r="DF49" s="343">
        <v>0</v>
      </c>
      <c r="DG49" s="343">
        <v>1909</v>
      </c>
      <c r="DH49" s="343">
        <v>0</v>
      </c>
      <c r="DI49" s="808">
        <f t="shared" si="54"/>
        <v>1909</v>
      </c>
      <c r="DJ49" s="211">
        <f t="shared" si="55"/>
        <v>318.16666666666669</v>
      </c>
      <c r="DK49" s="346">
        <v>0</v>
      </c>
      <c r="DL49" s="343">
        <v>0</v>
      </c>
      <c r="DM49" s="343">
        <v>0</v>
      </c>
      <c r="DN49" s="343">
        <v>1937</v>
      </c>
      <c r="DO49" s="343">
        <v>0</v>
      </c>
      <c r="DP49" s="343">
        <v>0</v>
      </c>
      <c r="DQ49" s="808">
        <f t="shared" si="56"/>
        <v>1937</v>
      </c>
      <c r="DR49" s="211">
        <f t="shared" si="57"/>
        <v>322.83333333333331</v>
      </c>
      <c r="DS49" s="346">
        <v>0</v>
      </c>
      <c r="DT49" s="343">
        <v>0</v>
      </c>
      <c r="DU49" s="343">
        <v>934</v>
      </c>
      <c r="DV49" s="343">
        <v>0</v>
      </c>
      <c r="DW49" s="343">
        <v>0</v>
      </c>
      <c r="DX49" s="343">
        <v>0</v>
      </c>
      <c r="DY49" s="808">
        <f t="shared" si="58"/>
        <v>934</v>
      </c>
      <c r="DZ49" s="211">
        <f t="shared" si="59"/>
        <v>155.66666666666666</v>
      </c>
      <c r="EA49" s="346">
        <v>581</v>
      </c>
      <c r="EB49" s="343">
        <v>1228</v>
      </c>
      <c r="EC49" s="343"/>
      <c r="ED49" s="343">
        <v>0</v>
      </c>
      <c r="EE49" s="343">
        <v>660</v>
      </c>
      <c r="EF49" s="343">
        <v>855</v>
      </c>
      <c r="EG49" s="808">
        <f t="shared" si="60"/>
        <v>3324</v>
      </c>
      <c r="EH49" s="211">
        <f t="shared" si="61"/>
        <v>554</v>
      </c>
      <c r="EI49" s="346">
        <v>0</v>
      </c>
      <c r="EJ49" s="343">
        <v>0</v>
      </c>
      <c r="EK49" s="343">
        <v>0</v>
      </c>
      <c r="EL49" s="343">
        <v>634</v>
      </c>
      <c r="EM49" s="343">
        <v>450</v>
      </c>
      <c r="EN49" s="343">
        <v>1616</v>
      </c>
      <c r="EO49" s="808">
        <f t="shared" si="62"/>
        <v>2700</v>
      </c>
      <c r="EP49" s="211">
        <f t="shared" si="63"/>
        <v>450</v>
      </c>
      <c r="EQ49" s="346">
        <v>0</v>
      </c>
      <c r="ER49" s="343">
        <v>330</v>
      </c>
      <c r="ES49" s="343">
        <v>274</v>
      </c>
      <c r="ET49" s="343">
        <v>608</v>
      </c>
      <c r="EU49" s="343">
        <v>1182</v>
      </c>
      <c r="EV49" s="343">
        <v>0</v>
      </c>
      <c r="EW49" s="808">
        <f t="shared" si="64"/>
        <v>2394</v>
      </c>
      <c r="EX49" s="211">
        <f t="shared" si="65"/>
        <v>399</v>
      </c>
      <c r="EY49" s="346">
        <v>0</v>
      </c>
      <c r="EZ49" s="343">
        <v>0</v>
      </c>
      <c r="FA49" s="343">
        <v>556</v>
      </c>
      <c r="FB49" s="343">
        <v>0</v>
      </c>
      <c r="FC49" s="343">
        <v>185</v>
      </c>
      <c r="FD49" s="343">
        <v>0</v>
      </c>
      <c r="FE49" s="808">
        <f t="shared" si="66"/>
        <v>741</v>
      </c>
      <c r="FF49" s="211">
        <f t="shared" si="67"/>
        <v>123.5</v>
      </c>
      <c r="FG49" s="755">
        <v>200</v>
      </c>
      <c r="FH49" s="345">
        <v>0</v>
      </c>
      <c r="FI49" s="345">
        <v>0</v>
      </c>
      <c r="FJ49" s="345">
        <v>0</v>
      </c>
      <c r="FK49" s="345">
        <v>0</v>
      </c>
      <c r="FL49" s="345">
        <v>288</v>
      </c>
      <c r="FM49" s="808">
        <f t="shared" si="68"/>
        <v>488</v>
      </c>
      <c r="FN49" s="211">
        <f t="shared" si="69"/>
        <v>81.333333333333329</v>
      </c>
      <c r="FO49" s="346">
        <v>595</v>
      </c>
      <c r="FP49" s="343">
        <v>0</v>
      </c>
      <c r="FQ49" s="343">
        <v>0</v>
      </c>
      <c r="FR49" s="343">
        <v>0</v>
      </c>
      <c r="FS49" s="343">
        <v>0</v>
      </c>
      <c r="FT49" s="343">
        <v>280</v>
      </c>
      <c r="FU49" s="808">
        <f t="shared" si="70"/>
        <v>875</v>
      </c>
      <c r="FV49" s="211">
        <f t="shared" si="71"/>
        <v>145.83333333333334</v>
      </c>
      <c r="FW49" s="346">
        <v>0</v>
      </c>
      <c r="FX49" s="343">
        <v>0</v>
      </c>
      <c r="FY49" s="343">
        <v>222</v>
      </c>
      <c r="FZ49" s="343">
        <v>599</v>
      </c>
      <c r="GA49" s="343">
        <v>0</v>
      </c>
      <c r="GB49" s="343">
        <v>0</v>
      </c>
      <c r="GC49" s="808">
        <f t="shared" si="72"/>
        <v>821</v>
      </c>
      <c r="GD49" s="211">
        <f t="shared" si="73"/>
        <v>136.83333333333334</v>
      </c>
      <c r="GE49" s="346">
        <v>0</v>
      </c>
      <c r="GF49" s="343">
        <v>0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4"/>
        <v>0</v>
      </c>
      <c r="GL49" s="211">
        <f t="shared" si="75"/>
        <v>0</v>
      </c>
      <c r="GM49" s="755">
        <v>0</v>
      </c>
      <c r="GN49" s="345">
        <v>223</v>
      </c>
      <c r="GO49" s="345">
        <v>0</v>
      </c>
      <c r="GP49" s="345">
        <v>0</v>
      </c>
      <c r="GQ49" s="345">
        <v>0</v>
      </c>
      <c r="GR49" s="345">
        <v>0</v>
      </c>
      <c r="GS49" s="872">
        <f t="shared" si="76"/>
        <v>223</v>
      </c>
      <c r="GT49" s="873">
        <f t="shared" si="77"/>
        <v>37.166666666666664</v>
      </c>
      <c r="GU49" s="346">
        <v>149</v>
      </c>
      <c r="GV49" s="343">
        <v>0</v>
      </c>
      <c r="GW49" s="343">
        <v>0</v>
      </c>
      <c r="GX49" s="343">
        <v>347</v>
      </c>
      <c r="GY49" s="343">
        <v>35</v>
      </c>
      <c r="GZ49" s="343">
        <v>0</v>
      </c>
      <c r="HA49" s="872">
        <f t="shared" si="78"/>
        <v>531</v>
      </c>
      <c r="HB49" s="873">
        <f t="shared" si="79"/>
        <v>88.5</v>
      </c>
      <c r="HC49" s="346">
        <v>0</v>
      </c>
      <c r="HD49" s="343">
        <v>304</v>
      </c>
      <c r="HE49" s="343">
        <v>0</v>
      </c>
      <c r="HF49" s="343">
        <v>0</v>
      </c>
      <c r="HG49" s="343">
        <v>0</v>
      </c>
      <c r="HH49" s="343">
        <v>265</v>
      </c>
      <c r="HI49" s="872">
        <f t="shared" si="80"/>
        <v>569</v>
      </c>
      <c r="HJ49" s="873">
        <f t="shared" si="81"/>
        <v>94.833333333333329</v>
      </c>
      <c r="HK49" s="346">
        <v>0</v>
      </c>
      <c r="HL49" s="343">
        <v>0</v>
      </c>
      <c r="HM49" s="343">
        <v>0</v>
      </c>
      <c r="HN49" s="343">
        <v>0</v>
      </c>
      <c r="HO49" s="343">
        <v>0</v>
      </c>
      <c r="HP49" s="343">
        <v>307</v>
      </c>
      <c r="HQ49" s="872">
        <f t="shared" si="82"/>
        <v>307</v>
      </c>
      <c r="HR49" s="873">
        <f t="shared" si="83"/>
        <v>51.166666666666664</v>
      </c>
      <c r="HS49" s="346">
        <v>0</v>
      </c>
      <c r="HT49" s="343">
        <v>0</v>
      </c>
      <c r="HU49" s="343"/>
      <c r="HV49" s="343"/>
      <c r="HW49" s="343"/>
      <c r="HX49" s="343"/>
      <c r="HY49" s="872">
        <f t="shared" si="84"/>
        <v>0</v>
      </c>
      <c r="HZ49" s="873">
        <f t="shared" si="85"/>
        <v>0</v>
      </c>
    </row>
    <row r="50" spans="1:234" s="323" customFormat="1" ht="15" customHeight="1" x14ac:dyDescent="0.2">
      <c r="A50" s="21">
        <v>39</v>
      </c>
      <c r="B50" s="21" t="s">
        <v>524</v>
      </c>
      <c r="C50" s="275" t="s">
        <v>527</v>
      </c>
      <c r="D50" s="21">
        <v>25</v>
      </c>
      <c r="E50" s="24"/>
      <c r="F50" s="24">
        <v>1927</v>
      </c>
      <c r="G50" s="24"/>
      <c r="H50" s="24"/>
      <c r="I50" s="360"/>
      <c r="J50" s="360">
        <f>SUMIF(SUMPK!$B:$B,$B:$B,SUMPK!$O:$O)</f>
        <v>0</v>
      </c>
      <c r="K50" s="24"/>
      <c r="L50" s="24">
        <f t="shared" si="97"/>
        <v>1927</v>
      </c>
      <c r="M50" s="15">
        <f t="shared" si="98"/>
        <v>1927</v>
      </c>
      <c r="N50" s="15">
        <v>0</v>
      </c>
      <c r="O50" s="276"/>
      <c r="P50" s="15"/>
      <c r="Q50" s="711">
        <f t="shared" si="29"/>
        <v>160</v>
      </c>
      <c r="R50" s="276"/>
      <c r="S50" s="712">
        <f t="shared" si="31"/>
        <v>36.92307692307692</v>
      </c>
      <c r="T50" s="713">
        <v>960</v>
      </c>
      <c r="U50" s="276">
        <f t="shared" si="92"/>
        <v>52.189583333333339</v>
      </c>
      <c r="V50" s="278"/>
      <c r="W50" s="276">
        <f t="shared" si="33"/>
        <v>52.189583333333339</v>
      </c>
      <c r="X50" s="823">
        <f t="shared" si="0"/>
        <v>1</v>
      </c>
      <c r="Y50" s="305">
        <v>19</v>
      </c>
      <c r="Z50" s="824"/>
      <c r="AA50" s="244"/>
      <c r="AB50" s="64"/>
      <c r="AC50" s="64"/>
      <c r="AD50" s="64"/>
      <c r="AE50" s="64"/>
      <c r="AF50" s="64"/>
      <c r="AG50" s="64"/>
      <c r="AH50" s="211"/>
      <c r="AI50" s="755"/>
      <c r="AJ50" s="345"/>
      <c r="AK50" s="345"/>
      <c r="AL50" s="345"/>
      <c r="AM50" s="345"/>
      <c r="AN50" s="345"/>
      <c r="AO50" s="808"/>
      <c r="AP50" s="809"/>
      <c r="AQ50" s="814"/>
      <c r="AR50" s="815"/>
      <c r="AS50" s="815"/>
      <c r="AT50" s="815"/>
      <c r="AU50" s="815"/>
      <c r="AV50" s="815"/>
      <c r="AW50" s="808"/>
      <c r="AX50" s="211"/>
      <c r="AY50" s="346"/>
      <c r="AZ50" s="343"/>
      <c r="BA50" s="343"/>
      <c r="BB50" s="343"/>
      <c r="BC50" s="343"/>
      <c r="BD50" s="343"/>
      <c r="BE50" s="808"/>
      <c r="BF50" s="211"/>
      <c r="BG50" s="814"/>
      <c r="BH50" s="815"/>
      <c r="BI50" s="815"/>
      <c r="BJ50" s="815"/>
      <c r="BK50" s="815"/>
      <c r="BL50" s="815"/>
      <c r="BM50" s="808"/>
      <c r="BN50" s="211"/>
      <c r="BO50" s="755"/>
      <c r="BP50" s="345"/>
      <c r="BQ50" s="345"/>
      <c r="BR50" s="345"/>
      <c r="BS50" s="345"/>
      <c r="BT50" s="345"/>
      <c r="BU50" s="808"/>
      <c r="BV50" s="211"/>
      <c r="BW50" s="755"/>
      <c r="BX50" s="345"/>
      <c r="BY50" s="345"/>
      <c r="BZ50" s="345"/>
      <c r="CA50" s="345"/>
      <c r="CB50" s="345"/>
      <c r="CC50" s="808"/>
      <c r="CD50" s="211"/>
      <c r="CE50" s="346"/>
      <c r="CF50" s="343"/>
      <c r="CG50" s="343"/>
      <c r="CH50" s="343"/>
      <c r="CI50" s="343"/>
      <c r="CJ50" s="343"/>
      <c r="CK50" s="808"/>
      <c r="CL50" s="211"/>
      <c r="CM50" s="346"/>
      <c r="CN50" s="343"/>
      <c r="CO50" s="343"/>
      <c r="CP50" s="343"/>
      <c r="CQ50" s="343"/>
      <c r="CR50" s="343"/>
      <c r="CS50" s="808"/>
      <c r="CT50" s="211"/>
      <c r="CU50" s="346"/>
      <c r="CV50" s="343"/>
      <c r="CW50" s="343"/>
      <c r="CX50" s="343"/>
      <c r="CY50" s="343"/>
      <c r="CZ50" s="343"/>
      <c r="DA50" s="808"/>
      <c r="DB50" s="211"/>
      <c r="DC50" s="346"/>
      <c r="DD50" s="343"/>
      <c r="DE50" s="343"/>
      <c r="DF50" s="343"/>
      <c r="DG50" s="343"/>
      <c r="DH50" s="343"/>
      <c r="DI50" s="808"/>
      <c r="DJ50" s="211"/>
      <c r="DK50" s="346"/>
      <c r="DL50" s="343"/>
      <c r="DM50" s="343"/>
      <c r="DN50" s="343"/>
      <c r="DO50" s="343"/>
      <c r="DP50" s="343"/>
      <c r="DQ50" s="808"/>
      <c r="DR50" s="211"/>
      <c r="DS50" s="346"/>
      <c r="DT50" s="343"/>
      <c r="DU50" s="343"/>
      <c r="DV50" s="343"/>
      <c r="DW50" s="343"/>
      <c r="DX50" s="343"/>
      <c r="DY50" s="808"/>
      <c r="DZ50" s="211"/>
      <c r="EA50" s="346"/>
      <c r="EB50" s="343"/>
      <c r="EC50" s="343"/>
      <c r="ED50" s="343"/>
      <c r="EE50" s="343"/>
      <c r="EF50" s="343"/>
      <c r="EG50" s="808"/>
      <c r="EH50" s="211"/>
      <c r="EI50" s="346"/>
      <c r="EJ50" s="343"/>
      <c r="EK50" s="343"/>
      <c r="EL50" s="343"/>
      <c r="EM50" s="343"/>
      <c r="EN50" s="343"/>
      <c r="EO50" s="808"/>
      <c r="EP50" s="211"/>
      <c r="EQ50" s="346"/>
      <c r="ER50" s="343"/>
      <c r="ES50" s="343"/>
      <c r="ET50" s="343"/>
      <c r="EU50" s="343"/>
      <c r="EV50" s="343"/>
      <c r="EW50" s="808"/>
      <c r="EX50" s="211"/>
      <c r="EY50" s="346"/>
      <c r="EZ50" s="343"/>
      <c r="FA50" s="343"/>
      <c r="FB50" s="343"/>
      <c r="FC50" s="343"/>
      <c r="FD50" s="343"/>
      <c r="FE50" s="808"/>
      <c r="FF50" s="211"/>
      <c r="FG50" s="755"/>
      <c r="FH50" s="345"/>
      <c r="FI50" s="345"/>
      <c r="FJ50" s="345"/>
      <c r="FK50" s="345"/>
      <c r="FL50" s="345"/>
      <c r="FM50" s="808"/>
      <c r="FN50" s="211"/>
      <c r="FO50" s="346"/>
      <c r="FP50" s="343"/>
      <c r="FQ50" s="343"/>
      <c r="FR50" s="343"/>
      <c r="FS50" s="343"/>
      <c r="FT50" s="343"/>
      <c r="FU50" s="808"/>
      <c r="FV50" s="211"/>
      <c r="FW50" s="346"/>
      <c r="FX50" s="343"/>
      <c r="FY50" s="343"/>
      <c r="FZ50" s="343"/>
      <c r="GA50" s="343"/>
      <c r="GB50" s="343"/>
      <c r="GC50" s="808"/>
      <c r="GD50" s="211"/>
      <c r="GE50" s="346"/>
      <c r="GF50" s="343"/>
      <c r="GG50" s="343"/>
      <c r="GH50" s="343">
        <v>0</v>
      </c>
      <c r="GI50" s="343">
        <v>0</v>
      </c>
      <c r="GJ50" s="343">
        <v>0</v>
      </c>
      <c r="GK50" s="808"/>
      <c r="GL50" s="211"/>
      <c r="GM50" s="755">
        <v>0</v>
      </c>
      <c r="GN50" s="345">
        <v>0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6"/>
        <v>0</v>
      </c>
      <c r="GT50" s="873">
        <f t="shared" si="77"/>
        <v>0</v>
      </c>
      <c r="GU50" s="346">
        <v>0</v>
      </c>
      <c r="GV50" s="343">
        <v>0</v>
      </c>
      <c r="GW50" s="343">
        <v>0</v>
      </c>
      <c r="GX50" s="343">
        <v>0</v>
      </c>
      <c r="GY50" s="343">
        <v>0</v>
      </c>
      <c r="GZ50" s="343">
        <v>0</v>
      </c>
      <c r="HA50" s="872">
        <f t="shared" si="78"/>
        <v>0</v>
      </c>
      <c r="HB50" s="873">
        <f t="shared" si="79"/>
        <v>0</v>
      </c>
      <c r="HC50" s="346">
        <v>0</v>
      </c>
      <c r="HD50" s="343">
        <v>0</v>
      </c>
      <c r="HE50" s="343">
        <v>0</v>
      </c>
      <c r="HF50" s="343">
        <v>0</v>
      </c>
      <c r="HG50" s="343">
        <v>0</v>
      </c>
      <c r="HH50" s="343">
        <v>0</v>
      </c>
      <c r="HI50" s="872">
        <f t="shared" si="80"/>
        <v>0</v>
      </c>
      <c r="HJ50" s="873">
        <f t="shared" si="81"/>
        <v>0</v>
      </c>
      <c r="HK50" s="346">
        <v>0</v>
      </c>
      <c r="HL50" s="343">
        <v>0</v>
      </c>
      <c r="HM50" s="343">
        <v>0</v>
      </c>
      <c r="HN50" s="343">
        <v>0</v>
      </c>
      <c r="HO50" s="343">
        <v>0</v>
      </c>
      <c r="HP50" s="343">
        <v>0</v>
      </c>
      <c r="HQ50" s="872">
        <f t="shared" si="82"/>
        <v>0</v>
      </c>
      <c r="HR50" s="873">
        <f t="shared" si="83"/>
        <v>0</v>
      </c>
      <c r="HS50" s="346">
        <v>0</v>
      </c>
      <c r="HT50" s="343">
        <v>0</v>
      </c>
      <c r="HU50" s="343"/>
      <c r="HV50" s="343"/>
      <c r="HW50" s="343"/>
      <c r="HX50" s="343"/>
      <c r="HY50" s="872">
        <f t="shared" si="84"/>
        <v>0</v>
      </c>
      <c r="HZ50" s="873">
        <f t="shared" si="85"/>
        <v>0</v>
      </c>
    </row>
    <row r="51" spans="1:234" s="323" customFormat="1" x14ac:dyDescent="0.2">
      <c r="A51" s="21">
        <v>40</v>
      </c>
      <c r="B51" s="21" t="s">
        <v>87</v>
      </c>
      <c r="C51" s="275" t="s">
        <v>88</v>
      </c>
      <c r="D51" s="21">
        <v>25</v>
      </c>
      <c r="E51" s="24"/>
      <c r="F51" s="24">
        <v>21455</v>
      </c>
      <c r="G51" s="24"/>
      <c r="H51" s="235"/>
      <c r="I51" s="360"/>
      <c r="J51" s="360">
        <f>SUMIF(SUMPK!$B:$B,$B:$B,SUMPK!$O:$O)</f>
        <v>2449</v>
      </c>
      <c r="K51" s="24"/>
      <c r="L51" s="24">
        <f t="shared" si="97"/>
        <v>19006</v>
      </c>
      <c r="M51" s="15">
        <f t="shared" si="98"/>
        <v>19006</v>
      </c>
      <c r="N51" s="15">
        <v>1117.5</v>
      </c>
      <c r="O51" s="276">
        <f t="shared" si="28"/>
        <v>17.007606263982105</v>
      </c>
      <c r="P51" s="15">
        <v>1603.1666666666667</v>
      </c>
      <c r="Q51" s="711">
        <f t="shared" si="29"/>
        <v>6666.666666666667</v>
      </c>
      <c r="R51" s="276">
        <f t="shared" si="30"/>
        <v>71.131718473853823</v>
      </c>
      <c r="S51" s="712">
        <f t="shared" si="31"/>
        <v>1538.4615384615386</v>
      </c>
      <c r="T51" s="713">
        <v>40000</v>
      </c>
      <c r="U51" s="276">
        <f t="shared" si="92"/>
        <v>12.353899999999999</v>
      </c>
      <c r="V51" s="278"/>
      <c r="W51" s="276">
        <f t="shared" si="33"/>
        <v>12.353899999999999</v>
      </c>
      <c r="X51" s="823">
        <f t="shared" si="0"/>
        <v>1</v>
      </c>
      <c r="Y51" s="305">
        <v>17</v>
      </c>
      <c r="Z51" s="824"/>
      <c r="AA51" s="244">
        <v>989</v>
      </c>
      <c r="AB51" s="64">
        <v>0</v>
      </c>
      <c r="AC51" s="64">
        <v>2116</v>
      </c>
      <c r="AD51" s="64">
        <v>0</v>
      </c>
      <c r="AE51" s="64">
        <v>3941</v>
      </c>
      <c r="AF51" s="64">
        <v>1737</v>
      </c>
      <c r="AG51" s="64">
        <f t="shared" si="34"/>
        <v>8783</v>
      </c>
      <c r="AH51" s="211">
        <f t="shared" si="35"/>
        <v>1463.8333333333333</v>
      </c>
      <c r="AI51" s="755">
        <v>1364</v>
      </c>
      <c r="AJ51" s="345">
        <v>0</v>
      </c>
      <c r="AK51" s="345">
        <v>2657</v>
      </c>
      <c r="AL51" s="345">
        <v>0</v>
      </c>
      <c r="AM51" s="345">
        <v>1859</v>
      </c>
      <c r="AN51" s="345">
        <v>0</v>
      </c>
      <c r="AO51" s="808">
        <f t="shared" si="36"/>
        <v>5880</v>
      </c>
      <c r="AP51" s="809">
        <f t="shared" si="37"/>
        <v>980</v>
      </c>
      <c r="AQ51" s="814">
        <v>0</v>
      </c>
      <c r="AR51" s="815">
        <v>1632</v>
      </c>
      <c r="AS51" s="815">
        <v>0</v>
      </c>
      <c r="AT51" s="815">
        <v>0</v>
      </c>
      <c r="AU51" s="815">
        <v>1689</v>
      </c>
      <c r="AV51" s="815">
        <v>0</v>
      </c>
      <c r="AW51" s="808">
        <f t="shared" si="38"/>
        <v>3321</v>
      </c>
      <c r="AX51" s="211">
        <f t="shared" si="39"/>
        <v>553.5</v>
      </c>
      <c r="AY51" s="346">
        <v>3274</v>
      </c>
      <c r="AZ51" s="343">
        <v>720</v>
      </c>
      <c r="BA51" s="343">
        <v>311</v>
      </c>
      <c r="BB51" s="343">
        <v>1611</v>
      </c>
      <c r="BC51" s="343">
        <v>0</v>
      </c>
      <c r="BD51" s="343">
        <v>2048</v>
      </c>
      <c r="BE51" s="808">
        <f t="shared" si="40"/>
        <v>7964</v>
      </c>
      <c r="BF51" s="211">
        <f t="shared" si="41"/>
        <v>1327.3333333333333</v>
      </c>
      <c r="BG51" s="814">
        <v>0</v>
      </c>
      <c r="BH51" s="815">
        <v>1152</v>
      </c>
      <c r="BI51" s="815">
        <v>2843</v>
      </c>
      <c r="BJ51" s="815">
        <v>2690</v>
      </c>
      <c r="BK51" s="815">
        <v>0</v>
      </c>
      <c r="BL51" s="815">
        <v>2153</v>
      </c>
      <c r="BM51" s="808">
        <f t="shared" si="42"/>
        <v>8838</v>
      </c>
      <c r="BN51" s="211">
        <f t="shared" si="43"/>
        <v>1473</v>
      </c>
      <c r="BO51" s="755">
        <v>0</v>
      </c>
      <c r="BP51" s="345">
        <v>0</v>
      </c>
      <c r="BQ51" s="345">
        <v>2225</v>
      </c>
      <c r="BR51" s="345">
        <v>1997</v>
      </c>
      <c r="BS51" s="345">
        <v>0</v>
      </c>
      <c r="BT51" s="345">
        <v>0</v>
      </c>
      <c r="BU51" s="808">
        <f t="shared" si="44"/>
        <v>4222</v>
      </c>
      <c r="BV51" s="211">
        <f t="shared" si="45"/>
        <v>703.66666666666663</v>
      </c>
      <c r="BW51" s="755">
        <v>770</v>
      </c>
      <c r="BX51" s="345">
        <v>4093</v>
      </c>
      <c r="BY51" s="345">
        <v>880</v>
      </c>
      <c r="BZ51" s="345">
        <v>0</v>
      </c>
      <c r="CA51" s="345">
        <v>2495</v>
      </c>
      <c r="CB51" s="345">
        <v>2404</v>
      </c>
      <c r="CC51" s="808">
        <f t="shared" si="46"/>
        <v>10642</v>
      </c>
      <c r="CD51" s="211">
        <f t="shared" si="47"/>
        <v>1773.6666666666667</v>
      </c>
      <c r="CE51" s="346">
        <v>0</v>
      </c>
      <c r="CF51" s="343">
        <v>1623</v>
      </c>
      <c r="CG51" s="343">
        <v>0</v>
      </c>
      <c r="CH51" s="343">
        <v>0</v>
      </c>
      <c r="CI51" s="343">
        <v>394</v>
      </c>
      <c r="CJ51" s="343">
        <v>0</v>
      </c>
      <c r="CK51" s="808">
        <f t="shared" si="48"/>
        <v>2017</v>
      </c>
      <c r="CL51" s="211">
        <f t="shared" si="49"/>
        <v>336.16666666666669</v>
      </c>
      <c r="CM51" s="346">
        <v>1615</v>
      </c>
      <c r="CN51" s="343">
        <v>0</v>
      </c>
      <c r="CO51" s="343">
        <v>1750</v>
      </c>
      <c r="CP51" s="343">
        <v>0</v>
      </c>
      <c r="CQ51" s="343">
        <v>972</v>
      </c>
      <c r="CR51" s="343">
        <v>0</v>
      </c>
      <c r="CS51" s="808">
        <f t="shared" si="50"/>
        <v>4337</v>
      </c>
      <c r="CT51" s="211">
        <f t="shared" si="51"/>
        <v>722.83333333333337</v>
      </c>
      <c r="CU51" s="346">
        <v>1259</v>
      </c>
      <c r="CV51" s="343">
        <v>1084</v>
      </c>
      <c r="CW51" s="343">
        <v>0</v>
      </c>
      <c r="CX51" s="343">
        <v>1485</v>
      </c>
      <c r="CY51" s="343">
        <v>57</v>
      </c>
      <c r="CZ51" s="343">
        <v>0</v>
      </c>
      <c r="DA51" s="808">
        <f t="shared" si="52"/>
        <v>3885</v>
      </c>
      <c r="DB51" s="211">
        <f t="shared" si="53"/>
        <v>647.5</v>
      </c>
      <c r="DC51" s="346">
        <v>2613</v>
      </c>
      <c r="DD51" s="343">
        <v>845</v>
      </c>
      <c r="DE51" s="343">
        <v>0</v>
      </c>
      <c r="DF51" s="343">
        <v>2600</v>
      </c>
      <c r="DG51" s="343"/>
      <c r="DH51" s="343">
        <v>0</v>
      </c>
      <c r="DI51" s="808">
        <f t="shared" si="54"/>
        <v>6058</v>
      </c>
      <c r="DJ51" s="211">
        <f t="shared" si="55"/>
        <v>1009.6666666666666</v>
      </c>
      <c r="DK51" s="346">
        <v>2908</v>
      </c>
      <c r="DL51" s="343">
        <v>0</v>
      </c>
      <c r="DM51" s="343">
        <v>0</v>
      </c>
      <c r="DN51" s="343">
        <v>1595</v>
      </c>
      <c r="DO51" s="343">
        <v>0</v>
      </c>
      <c r="DP51" s="343">
        <v>2024</v>
      </c>
      <c r="DQ51" s="808">
        <f t="shared" si="56"/>
        <v>6527</v>
      </c>
      <c r="DR51" s="211">
        <f t="shared" si="57"/>
        <v>1087.8333333333333</v>
      </c>
      <c r="DS51" s="346">
        <v>0</v>
      </c>
      <c r="DT51" s="343">
        <v>770</v>
      </c>
      <c r="DU51" s="343">
        <v>861</v>
      </c>
      <c r="DV51" s="343">
        <v>0</v>
      </c>
      <c r="DW51" s="343">
        <v>822</v>
      </c>
      <c r="DX51" s="343">
        <v>2382</v>
      </c>
      <c r="DY51" s="808">
        <f t="shared" si="58"/>
        <v>4835</v>
      </c>
      <c r="DZ51" s="211">
        <f t="shared" si="59"/>
        <v>805.83333333333337</v>
      </c>
      <c r="EA51" s="346">
        <v>1632</v>
      </c>
      <c r="EB51" s="343">
        <v>0</v>
      </c>
      <c r="EC51" s="343"/>
      <c r="ED51" s="343">
        <v>0</v>
      </c>
      <c r="EE51" s="343">
        <v>2413</v>
      </c>
      <c r="EF51" s="343">
        <v>0</v>
      </c>
      <c r="EG51" s="808">
        <f t="shared" si="60"/>
        <v>4045</v>
      </c>
      <c r="EH51" s="211">
        <f t="shared" si="61"/>
        <v>674.16666666666663</v>
      </c>
      <c r="EI51" s="346">
        <v>0</v>
      </c>
      <c r="EJ51" s="343">
        <v>856</v>
      </c>
      <c r="EK51" s="343">
        <v>0</v>
      </c>
      <c r="EL51" s="343">
        <v>2371</v>
      </c>
      <c r="EM51" s="343">
        <v>0</v>
      </c>
      <c r="EN51" s="343">
        <v>1405</v>
      </c>
      <c r="EO51" s="808">
        <f t="shared" si="62"/>
        <v>4632</v>
      </c>
      <c r="EP51" s="211">
        <f t="shared" si="63"/>
        <v>772</v>
      </c>
      <c r="EQ51" s="346">
        <v>3301</v>
      </c>
      <c r="ER51" s="343">
        <v>0</v>
      </c>
      <c r="ES51" s="343">
        <v>45</v>
      </c>
      <c r="ET51" s="343">
        <v>1370</v>
      </c>
      <c r="EU51" s="343">
        <v>0</v>
      </c>
      <c r="EV51" s="343">
        <v>0</v>
      </c>
      <c r="EW51" s="808">
        <f t="shared" si="64"/>
        <v>4716</v>
      </c>
      <c r="EX51" s="211">
        <f t="shared" si="65"/>
        <v>786</v>
      </c>
      <c r="EY51" s="346">
        <v>923</v>
      </c>
      <c r="EZ51" s="343">
        <v>0</v>
      </c>
      <c r="FA51" s="343">
        <v>1499</v>
      </c>
      <c r="FB51" s="343">
        <v>1906</v>
      </c>
      <c r="FC51" s="343">
        <v>524</v>
      </c>
      <c r="FD51" s="343">
        <v>770</v>
      </c>
      <c r="FE51" s="808">
        <f t="shared" si="66"/>
        <v>5622</v>
      </c>
      <c r="FF51" s="211">
        <f t="shared" si="67"/>
        <v>937</v>
      </c>
      <c r="FG51" s="755">
        <v>1166</v>
      </c>
      <c r="FH51" s="345">
        <v>0</v>
      </c>
      <c r="FI51" s="345">
        <v>1988</v>
      </c>
      <c r="FJ51" s="345">
        <v>0</v>
      </c>
      <c r="FK51" s="345">
        <v>0</v>
      </c>
      <c r="FL51" s="345">
        <v>960</v>
      </c>
      <c r="FM51" s="808">
        <f t="shared" si="68"/>
        <v>4114</v>
      </c>
      <c r="FN51" s="211">
        <f t="shared" si="69"/>
        <v>685.66666666666663</v>
      </c>
      <c r="FO51" s="346">
        <v>3044</v>
      </c>
      <c r="FP51" s="343">
        <v>0</v>
      </c>
      <c r="FQ51" s="343">
        <v>0</v>
      </c>
      <c r="FR51" s="343">
        <v>0</v>
      </c>
      <c r="FS51" s="343">
        <v>0</v>
      </c>
      <c r="FT51" s="343">
        <v>0</v>
      </c>
      <c r="FU51" s="808">
        <f t="shared" si="70"/>
        <v>3044</v>
      </c>
      <c r="FV51" s="211">
        <f t="shared" si="71"/>
        <v>507.33333333333331</v>
      </c>
      <c r="FW51" s="346">
        <v>1320</v>
      </c>
      <c r="FX51" s="343">
        <v>2892</v>
      </c>
      <c r="FY51" s="343">
        <v>4410</v>
      </c>
      <c r="FZ51" s="343">
        <v>265</v>
      </c>
      <c r="GA51" s="343">
        <v>0</v>
      </c>
      <c r="GB51" s="343">
        <v>396</v>
      </c>
      <c r="GC51" s="808">
        <f t="shared" si="72"/>
        <v>9283</v>
      </c>
      <c r="GD51" s="211">
        <f t="shared" si="73"/>
        <v>1547.1666666666667</v>
      </c>
      <c r="GE51" s="346">
        <v>440</v>
      </c>
      <c r="GF51" s="343">
        <v>2973</v>
      </c>
      <c r="GG51" s="343">
        <v>0</v>
      </c>
      <c r="GH51" s="343">
        <v>1122</v>
      </c>
      <c r="GI51" s="343">
        <v>2930</v>
      </c>
      <c r="GJ51" s="343">
        <v>2561</v>
      </c>
      <c r="GK51" s="808">
        <f t="shared" si="74"/>
        <v>10026</v>
      </c>
      <c r="GL51" s="211">
        <f t="shared" si="75"/>
        <v>1671</v>
      </c>
      <c r="GM51" s="755">
        <v>1214</v>
      </c>
      <c r="GN51" s="345">
        <v>0</v>
      </c>
      <c r="GO51" s="345">
        <v>1600</v>
      </c>
      <c r="GP51" s="345">
        <v>2075</v>
      </c>
      <c r="GQ51" s="345">
        <v>0</v>
      </c>
      <c r="GR51" s="345">
        <v>0</v>
      </c>
      <c r="GS51" s="872">
        <f t="shared" si="76"/>
        <v>4889</v>
      </c>
      <c r="GT51" s="873">
        <f t="shared" si="77"/>
        <v>814.83333333333337</v>
      </c>
      <c r="GU51" s="346">
        <v>1521</v>
      </c>
      <c r="GV51" s="343">
        <v>0</v>
      </c>
      <c r="GW51" s="343">
        <v>2898</v>
      </c>
      <c r="GX51" s="343">
        <v>2701</v>
      </c>
      <c r="GY51" s="343">
        <v>0</v>
      </c>
      <c r="GZ51" s="343">
        <v>0</v>
      </c>
      <c r="HA51" s="872">
        <f t="shared" si="78"/>
        <v>7120</v>
      </c>
      <c r="HB51" s="873">
        <f t="shared" si="79"/>
        <v>1186.6666666666667</v>
      </c>
      <c r="HC51" s="346">
        <v>0</v>
      </c>
      <c r="HD51" s="343">
        <v>790</v>
      </c>
      <c r="HE51" s="343">
        <v>2203</v>
      </c>
      <c r="HF51" s="343">
        <v>2915</v>
      </c>
      <c r="HG51" s="343">
        <v>0</v>
      </c>
      <c r="HH51" s="343">
        <v>1100</v>
      </c>
      <c r="HI51" s="872">
        <f t="shared" si="80"/>
        <v>7008</v>
      </c>
      <c r="HJ51" s="873">
        <f t="shared" si="81"/>
        <v>1168</v>
      </c>
      <c r="HK51" s="346">
        <v>2655</v>
      </c>
      <c r="HL51" s="343">
        <v>1219</v>
      </c>
      <c r="HM51" s="343">
        <v>0</v>
      </c>
      <c r="HN51" s="343">
        <v>1320</v>
      </c>
      <c r="HO51" s="343">
        <v>1192</v>
      </c>
      <c r="HP51" s="343">
        <v>319</v>
      </c>
      <c r="HQ51" s="872">
        <f t="shared" si="82"/>
        <v>6705</v>
      </c>
      <c r="HR51" s="873">
        <f t="shared" si="83"/>
        <v>1117.5</v>
      </c>
      <c r="HS51" s="346">
        <v>645</v>
      </c>
      <c r="HT51" s="343">
        <v>0</v>
      </c>
      <c r="HU51" s="343"/>
      <c r="HV51" s="343"/>
      <c r="HW51" s="343"/>
      <c r="HX51" s="343"/>
      <c r="HY51" s="872">
        <f t="shared" si="84"/>
        <v>645</v>
      </c>
      <c r="HZ51" s="873">
        <f t="shared" si="85"/>
        <v>107.5</v>
      </c>
    </row>
    <row r="52" spans="1:234" s="323" customFormat="1" ht="15" customHeight="1" x14ac:dyDescent="0.2">
      <c r="A52" s="21">
        <v>41</v>
      </c>
      <c r="B52" s="21" t="s">
        <v>310</v>
      </c>
      <c r="C52" s="275" t="s">
        <v>311</v>
      </c>
      <c r="D52" s="21">
        <v>25</v>
      </c>
      <c r="E52" s="24"/>
      <c r="F52" s="24">
        <v>676</v>
      </c>
      <c r="G52" s="24"/>
      <c r="H52" s="235"/>
      <c r="I52" s="360"/>
      <c r="J52" s="360">
        <f>SUMIF(SUMPK!$B:$B,$B:$B,SUMPK!$O:$O)</f>
        <v>0</v>
      </c>
      <c r="K52" s="24"/>
      <c r="L52" s="24">
        <f t="shared" si="97"/>
        <v>676</v>
      </c>
      <c r="M52" s="15">
        <f t="shared" si="98"/>
        <v>676</v>
      </c>
      <c r="N52" s="15">
        <v>0</v>
      </c>
      <c r="O52" s="276">
        <f t="shared" si="28"/>
        <v>0</v>
      </c>
      <c r="P52" s="15"/>
      <c r="Q52" s="711">
        <f t="shared" si="29"/>
        <v>0</v>
      </c>
      <c r="R52" s="276"/>
      <c r="S52" s="712">
        <f t="shared" si="31"/>
        <v>0</v>
      </c>
      <c r="T52" s="713"/>
      <c r="U52" s="276"/>
      <c r="V52" s="278"/>
      <c r="W52" s="276">
        <f t="shared" si="33"/>
        <v>0</v>
      </c>
      <c r="X52" s="823">
        <f t="shared" si="0"/>
        <v>1</v>
      </c>
      <c r="Y52" s="305">
        <v>18</v>
      </c>
      <c r="Z52" s="824"/>
      <c r="AA52" s="244">
        <v>0</v>
      </c>
      <c r="AB52" s="64">
        <v>0</v>
      </c>
      <c r="AC52" s="64">
        <v>0</v>
      </c>
      <c r="AD52" s="64">
        <v>681</v>
      </c>
      <c r="AE52" s="64">
        <v>0</v>
      </c>
      <c r="AF52" s="64">
        <v>0</v>
      </c>
      <c r="AG52" s="64">
        <f t="shared" si="34"/>
        <v>681</v>
      </c>
      <c r="AH52" s="211">
        <f t="shared" si="35"/>
        <v>113.5</v>
      </c>
      <c r="AI52" s="75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808">
        <f t="shared" si="36"/>
        <v>0</v>
      </c>
      <c r="AP52" s="809">
        <f t="shared" si="37"/>
        <v>0</v>
      </c>
      <c r="AQ52" s="814">
        <v>0</v>
      </c>
      <c r="AR52" s="815">
        <v>637</v>
      </c>
      <c r="AS52" s="815">
        <v>0</v>
      </c>
      <c r="AT52" s="815">
        <v>0</v>
      </c>
      <c r="AU52" s="815">
        <v>0</v>
      </c>
      <c r="AV52" s="815">
        <v>0</v>
      </c>
      <c r="AW52" s="808">
        <f t="shared" si="38"/>
        <v>637</v>
      </c>
      <c r="AX52" s="211">
        <f t="shared" si="39"/>
        <v>106.16666666666667</v>
      </c>
      <c r="AY52" s="346">
        <v>0</v>
      </c>
      <c r="AZ52" s="343">
        <v>0</v>
      </c>
      <c r="BA52" s="343">
        <v>0</v>
      </c>
      <c r="BB52" s="343">
        <v>0</v>
      </c>
      <c r="BC52" s="343">
        <v>328</v>
      </c>
      <c r="BD52" s="343">
        <v>0</v>
      </c>
      <c r="BE52" s="808">
        <f t="shared" si="40"/>
        <v>328</v>
      </c>
      <c r="BF52" s="211">
        <f t="shared" si="41"/>
        <v>54.666666666666664</v>
      </c>
      <c r="BG52" s="814">
        <v>331</v>
      </c>
      <c r="BH52" s="815">
        <v>0</v>
      </c>
      <c r="BI52" s="815">
        <v>0</v>
      </c>
      <c r="BJ52" s="815">
        <v>672</v>
      </c>
      <c r="BK52" s="815">
        <v>0</v>
      </c>
      <c r="BL52" s="815">
        <v>0</v>
      </c>
      <c r="BM52" s="808">
        <f t="shared" si="42"/>
        <v>1003</v>
      </c>
      <c r="BN52" s="211">
        <f t="shared" si="43"/>
        <v>167.16666666666666</v>
      </c>
      <c r="BO52" s="75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808">
        <f t="shared" si="44"/>
        <v>0</v>
      </c>
      <c r="BV52" s="211">
        <f t="shared" si="45"/>
        <v>0</v>
      </c>
      <c r="BW52" s="755">
        <v>0</v>
      </c>
      <c r="BX52" s="345">
        <v>258</v>
      </c>
      <c r="BY52" s="345">
        <v>0</v>
      </c>
      <c r="BZ52" s="345">
        <v>0</v>
      </c>
      <c r="CA52" s="345">
        <v>0</v>
      </c>
      <c r="CB52" s="345">
        <v>0</v>
      </c>
      <c r="CC52" s="808">
        <f t="shared" si="46"/>
        <v>258</v>
      </c>
      <c r="CD52" s="211">
        <f t="shared" si="47"/>
        <v>43</v>
      </c>
      <c r="CE52" s="346">
        <v>0</v>
      </c>
      <c r="CF52" s="343">
        <v>0</v>
      </c>
      <c r="CG52" s="343">
        <v>0</v>
      </c>
      <c r="CH52" s="343">
        <v>0</v>
      </c>
      <c r="CI52" s="343">
        <v>0</v>
      </c>
      <c r="CJ52" s="343">
        <v>177</v>
      </c>
      <c r="CK52" s="808">
        <f t="shared" si="48"/>
        <v>177</v>
      </c>
      <c r="CL52" s="211">
        <f t="shared" si="49"/>
        <v>29.5</v>
      </c>
      <c r="CM52" s="346">
        <v>298</v>
      </c>
      <c r="CN52" s="343">
        <v>0</v>
      </c>
      <c r="CO52" s="343">
        <v>0</v>
      </c>
      <c r="CP52" s="343">
        <v>0</v>
      </c>
      <c r="CQ52" s="343">
        <v>0</v>
      </c>
      <c r="CR52" s="343">
        <v>0</v>
      </c>
      <c r="CS52" s="808">
        <f t="shared" si="50"/>
        <v>298</v>
      </c>
      <c r="CT52" s="211">
        <f t="shared" si="51"/>
        <v>49.666666666666664</v>
      </c>
      <c r="CU52" s="346">
        <v>0</v>
      </c>
      <c r="CV52" s="343">
        <v>0</v>
      </c>
      <c r="CW52" s="343">
        <v>0</v>
      </c>
      <c r="CX52" s="343">
        <v>281</v>
      </c>
      <c r="CY52" s="343">
        <v>0</v>
      </c>
      <c r="CZ52" s="343">
        <v>0</v>
      </c>
      <c r="DA52" s="808">
        <f t="shared" si="52"/>
        <v>281</v>
      </c>
      <c r="DB52" s="211">
        <f t="shared" si="53"/>
        <v>46.833333333333336</v>
      </c>
      <c r="DC52" s="346">
        <v>332</v>
      </c>
      <c r="DD52" s="343">
        <v>0</v>
      </c>
      <c r="DE52" s="343">
        <v>0</v>
      </c>
      <c r="DF52" s="343">
        <v>0</v>
      </c>
      <c r="DG52" s="343"/>
      <c r="DH52" s="343">
        <v>0</v>
      </c>
      <c r="DI52" s="808">
        <f t="shared" si="54"/>
        <v>332</v>
      </c>
      <c r="DJ52" s="211">
        <f t="shared" si="55"/>
        <v>55.333333333333336</v>
      </c>
      <c r="DK52" s="346">
        <v>333</v>
      </c>
      <c r="DL52" s="343">
        <v>0</v>
      </c>
      <c r="DM52" s="343">
        <v>0</v>
      </c>
      <c r="DN52" s="343">
        <v>550</v>
      </c>
      <c r="DO52" s="343">
        <v>117</v>
      </c>
      <c r="DP52" s="343">
        <v>0</v>
      </c>
      <c r="DQ52" s="808">
        <f t="shared" si="56"/>
        <v>1000</v>
      </c>
      <c r="DR52" s="211">
        <f t="shared" si="57"/>
        <v>166.66666666666666</v>
      </c>
      <c r="DS52" s="346">
        <v>0</v>
      </c>
      <c r="DT52" s="343">
        <v>0</v>
      </c>
      <c r="DU52" s="343">
        <v>0</v>
      </c>
      <c r="DV52" s="343">
        <v>0</v>
      </c>
      <c r="DW52" s="343">
        <v>0</v>
      </c>
      <c r="DX52" s="343">
        <v>386</v>
      </c>
      <c r="DY52" s="808">
        <f t="shared" si="58"/>
        <v>386</v>
      </c>
      <c r="DZ52" s="211">
        <f t="shared" si="59"/>
        <v>64.333333333333329</v>
      </c>
      <c r="EA52" s="346">
        <v>0</v>
      </c>
      <c r="EB52" s="343">
        <v>0</v>
      </c>
      <c r="EC52" s="343"/>
      <c r="ED52" s="343">
        <v>0</v>
      </c>
      <c r="EE52" s="343">
        <v>0</v>
      </c>
      <c r="EF52" s="343">
        <v>648</v>
      </c>
      <c r="EG52" s="808">
        <f t="shared" si="60"/>
        <v>648</v>
      </c>
      <c r="EH52" s="211">
        <f t="shared" si="61"/>
        <v>108</v>
      </c>
      <c r="EI52" s="346">
        <v>0</v>
      </c>
      <c r="EJ52" s="343">
        <v>0</v>
      </c>
      <c r="EK52" s="343">
        <v>0</v>
      </c>
      <c r="EL52" s="343">
        <v>330</v>
      </c>
      <c r="EM52" s="343">
        <v>311</v>
      </c>
      <c r="EN52" s="343">
        <v>0</v>
      </c>
      <c r="EO52" s="808">
        <f t="shared" si="62"/>
        <v>641</v>
      </c>
      <c r="EP52" s="211">
        <f t="shared" si="63"/>
        <v>106.83333333333333</v>
      </c>
      <c r="EQ52" s="346">
        <v>0</v>
      </c>
      <c r="ER52" s="343">
        <v>0</v>
      </c>
      <c r="ES52" s="343">
        <v>0</v>
      </c>
      <c r="ET52" s="343">
        <v>0</v>
      </c>
      <c r="EU52" s="343">
        <v>659</v>
      </c>
      <c r="EV52" s="343">
        <v>0</v>
      </c>
      <c r="EW52" s="808">
        <f t="shared" si="64"/>
        <v>659</v>
      </c>
      <c r="EX52" s="211">
        <f t="shared" si="65"/>
        <v>109.83333333333333</v>
      </c>
      <c r="EY52" s="346">
        <v>0</v>
      </c>
      <c r="EZ52" s="343">
        <v>0</v>
      </c>
      <c r="FA52" s="343">
        <v>0</v>
      </c>
      <c r="FB52" s="343">
        <v>608</v>
      </c>
      <c r="FC52" s="343">
        <v>0</v>
      </c>
      <c r="FD52" s="343">
        <v>0</v>
      </c>
      <c r="FE52" s="808">
        <f t="shared" si="66"/>
        <v>608</v>
      </c>
      <c r="FF52" s="211">
        <f t="shared" si="67"/>
        <v>101.33333333333333</v>
      </c>
      <c r="FG52" s="755">
        <v>0</v>
      </c>
      <c r="FH52" s="345">
        <v>0</v>
      </c>
      <c r="FI52" s="345">
        <v>0</v>
      </c>
      <c r="FJ52" s="345">
        <v>0</v>
      </c>
      <c r="FK52" s="345">
        <v>0</v>
      </c>
      <c r="FL52" s="345">
        <v>0</v>
      </c>
      <c r="FM52" s="808">
        <f t="shared" si="68"/>
        <v>0</v>
      </c>
      <c r="FN52" s="211">
        <f t="shared" si="69"/>
        <v>0</v>
      </c>
      <c r="FO52" s="346">
        <v>0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70"/>
        <v>0</v>
      </c>
      <c r="FV52" s="211">
        <f t="shared" si="71"/>
        <v>0</v>
      </c>
      <c r="FW52" s="346">
        <v>0</v>
      </c>
      <c r="FX52" s="343">
        <v>0</v>
      </c>
      <c r="FY52" s="343">
        <v>0</v>
      </c>
      <c r="FZ52" s="343">
        <v>0</v>
      </c>
      <c r="GA52" s="343">
        <v>0</v>
      </c>
      <c r="GB52" s="343">
        <v>220</v>
      </c>
      <c r="GC52" s="808">
        <f t="shared" si="72"/>
        <v>220</v>
      </c>
      <c r="GD52" s="211">
        <f t="shared" si="73"/>
        <v>36.666666666666664</v>
      </c>
      <c r="GE52" s="346">
        <v>83</v>
      </c>
      <c r="GF52" s="343">
        <v>0</v>
      </c>
      <c r="GG52" s="343">
        <v>0</v>
      </c>
      <c r="GH52" s="343">
        <v>0</v>
      </c>
      <c r="GI52" s="343">
        <v>0</v>
      </c>
      <c r="GJ52" s="343">
        <v>318</v>
      </c>
      <c r="GK52" s="808">
        <f t="shared" si="74"/>
        <v>401</v>
      </c>
      <c r="GL52" s="211">
        <f t="shared" si="75"/>
        <v>66.833333333333329</v>
      </c>
      <c r="GM52" s="755">
        <v>0</v>
      </c>
      <c r="GN52" s="345">
        <v>0</v>
      </c>
      <c r="GO52" s="345">
        <v>0</v>
      </c>
      <c r="GP52" s="345">
        <v>0</v>
      </c>
      <c r="GQ52" s="345">
        <v>329</v>
      </c>
      <c r="GR52" s="345">
        <v>0</v>
      </c>
      <c r="GS52" s="872">
        <f t="shared" si="76"/>
        <v>329</v>
      </c>
      <c r="GT52" s="873">
        <f t="shared" si="77"/>
        <v>54.833333333333336</v>
      </c>
      <c r="GU52" s="346">
        <v>0</v>
      </c>
      <c r="GV52" s="343">
        <v>0</v>
      </c>
      <c r="GW52" s="343">
        <v>0</v>
      </c>
      <c r="GX52" s="343">
        <v>0</v>
      </c>
      <c r="GY52" s="343">
        <v>0</v>
      </c>
      <c r="GZ52" s="343">
        <v>0</v>
      </c>
      <c r="HA52" s="872">
        <f t="shared" si="78"/>
        <v>0</v>
      </c>
      <c r="HB52" s="873">
        <f t="shared" si="79"/>
        <v>0</v>
      </c>
      <c r="HC52" s="346">
        <v>0</v>
      </c>
      <c r="HD52" s="343">
        <v>306</v>
      </c>
      <c r="HE52" s="343">
        <v>0</v>
      </c>
      <c r="HF52" s="343">
        <v>0</v>
      </c>
      <c r="HG52" s="343">
        <v>297</v>
      </c>
      <c r="HH52" s="343">
        <v>0</v>
      </c>
      <c r="HI52" s="872">
        <f t="shared" si="80"/>
        <v>603</v>
      </c>
      <c r="HJ52" s="873">
        <f t="shared" si="81"/>
        <v>100.5</v>
      </c>
      <c r="HK52" s="346">
        <v>0</v>
      </c>
      <c r="HL52" s="343">
        <v>0</v>
      </c>
      <c r="HM52" s="343">
        <v>0</v>
      </c>
      <c r="HN52" s="343">
        <v>0</v>
      </c>
      <c r="HO52" s="343">
        <v>0</v>
      </c>
      <c r="HP52" s="343">
        <v>0</v>
      </c>
      <c r="HQ52" s="872">
        <f t="shared" si="82"/>
        <v>0</v>
      </c>
      <c r="HR52" s="873">
        <f t="shared" si="83"/>
        <v>0</v>
      </c>
      <c r="HS52" s="346">
        <v>0</v>
      </c>
      <c r="HT52" s="343">
        <v>304</v>
      </c>
      <c r="HU52" s="343"/>
      <c r="HV52" s="343"/>
      <c r="HW52" s="343"/>
      <c r="HX52" s="343"/>
      <c r="HY52" s="872">
        <f t="shared" si="84"/>
        <v>304</v>
      </c>
      <c r="HZ52" s="873">
        <f t="shared" si="85"/>
        <v>50.666666666666664</v>
      </c>
    </row>
    <row r="53" spans="1:234" s="323" customFormat="1" ht="15" customHeight="1" x14ac:dyDescent="0.2">
      <c r="A53" s="21">
        <v>42</v>
      </c>
      <c r="B53" s="21" t="s">
        <v>178</v>
      </c>
      <c r="C53" s="275" t="s">
        <v>177</v>
      </c>
      <c r="D53" s="21">
        <v>25</v>
      </c>
      <c r="E53" s="24"/>
      <c r="F53" s="24">
        <v>1140</v>
      </c>
      <c r="G53" s="24"/>
      <c r="H53" s="24"/>
      <c r="I53" s="24"/>
      <c r="J53" s="360">
        <f>SUMIF(SUMPK!$B:$B,$B:$B,SUMPK!$O:$O)</f>
        <v>0</v>
      </c>
      <c r="K53" s="24"/>
      <c r="L53" s="24">
        <f t="shared" si="97"/>
        <v>1140</v>
      </c>
      <c r="M53" s="15">
        <f t="shared" si="98"/>
        <v>1140</v>
      </c>
      <c r="N53" s="15">
        <v>0</v>
      </c>
      <c r="O53" s="276">
        <f t="shared" si="28"/>
        <v>0</v>
      </c>
      <c r="P53" s="15">
        <v>155.83333333333334</v>
      </c>
      <c r="Q53" s="711">
        <f t="shared" si="29"/>
        <v>0</v>
      </c>
      <c r="R53" s="276">
        <f t="shared" si="30"/>
        <v>43.893048128342244</v>
      </c>
      <c r="S53" s="712">
        <f t="shared" si="31"/>
        <v>0</v>
      </c>
      <c r="T53" s="713"/>
      <c r="U53" s="276">
        <f t="shared" si="92"/>
        <v>0</v>
      </c>
      <c r="V53" s="278"/>
      <c r="W53" s="276">
        <f t="shared" si="33"/>
        <v>0</v>
      </c>
      <c r="X53" s="823">
        <f t="shared" si="0"/>
        <v>1</v>
      </c>
      <c r="Y53" s="305">
        <v>14</v>
      </c>
      <c r="Z53" s="824"/>
      <c r="AA53" s="244">
        <v>0</v>
      </c>
      <c r="AB53" s="64">
        <v>0</v>
      </c>
      <c r="AC53" s="64">
        <v>0</v>
      </c>
      <c r="AD53" s="64">
        <v>0</v>
      </c>
      <c r="AE53" s="64">
        <v>971</v>
      </c>
      <c r="AF53" s="64">
        <v>0</v>
      </c>
      <c r="AG53" s="64">
        <f t="shared" si="34"/>
        <v>971</v>
      </c>
      <c r="AH53" s="211">
        <f t="shared" si="35"/>
        <v>161.83333333333334</v>
      </c>
      <c r="AI53" s="755">
        <v>0</v>
      </c>
      <c r="AJ53" s="345">
        <v>0</v>
      </c>
      <c r="AK53" s="345">
        <v>0</v>
      </c>
      <c r="AL53" s="345">
        <v>0</v>
      </c>
      <c r="AM53" s="345">
        <v>970</v>
      </c>
      <c r="AN53" s="345">
        <v>0</v>
      </c>
      <c r="AO53" s="808">
        <f t="shared" si="36"/>
        <v>970</v>
      </c>
      <c r="AP53" s="809">
        <f t="shared" si="37"/>
        <v>161.66666666666666</v>
      </c>
      <c r="AQ53" s="814">
        <v>0</v>
      </c>
      <c r="AR53" s="815">
        <v>0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8"/>
        <v>0</v>
      </c>
      <c r="AX53" s="211">
        <f t="shared" si="39"/>
        <v>0</v>
      </c>
      <c r="AY53" s="346">
        <v>0</v>
      </c>
      <c r="AZ53" s="343">
        <v>0</v>
      </c>
      <c r="BA53" s="343">
        <v>0</v>
      </c>
      <c r="BB53" s="343">
        <v>0</v>
      </c>
      <c r="BC53" s="343">
        <v>663</v>
      </c>
      <c r="BD53" s="343">
        <v>0</v>
      </c>
      <c r="BE53" s="808">
        <f t="shared" si="40"/>
        <v>663</v>
      </c>
      <c r="BF53" s="211">
        <f t="shared" si="41"/>
        <v>110.5</v>
      </c>
      <c r="BG53" s="814">
        <v>0</v>
      </c>
      <c r="BH53" s="815">
        <v>0</v>
      </c>
      <c r="BI53" s="815">
        <v>0</v>
      </c>
      <c r="BJ53" s="815">
        <v>0</v>
      </c>
      <c r="BK53" s="815">
        <v>645</v>
      </c>
      <c r="BL53" s="815">
        <v>0</v>
      </c>
      <c r="BM53" s="808">
        <f t="shared" si="42"/>
        <v>645</v>
      </c>
      <c r="BN53" s="211">
        <f t="shared" si="43"/>
        <v>107.5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651</v>
      </c>
      <c r="BU53" s="808">
        <f t="shared" si="44"/>
        <v>651</v>
      </c>
      <c r="BV53" s="211">
        <f t="shared" si="45"/>
        <v>108.5</v>
      </c>
      <c r="BW53" s="755">
        <v>0</v>
      </c>
      <c r="BX53" s="345">
        <v>0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6"/>
        <v>0</v>
      </c>
      <c r="CD53" s="211">
        <f t="shared" si="47"/>
        <v>0</v>
      </c>
      <c r="CE53" s="346">
        <v>644</v>
      </c>
      <c r="CF53" s="343">
        <v>0</v>
      </c>
      <c r="CG53" s="343">
        <v>0</v>
      </c>
      <c r="CH53" s="343">
        <v>0</v>
      </c>
      <c r="CI53" s="343">
        <v>0</v>
      </c>
      <c r="CJ53" s="343">
        <v>0</v>
      </c>
      <c r="CK53" s="808">
        <f t="shared" si="48"/>
        <v>644</v>
      </c>
      <c r="CL53" s="211">
        <f t="shared" si="49"/>
        <v>107.33333333333333</v>
      </c>
      <c r="CM53" s="346">
        <v>0</v>
      </c>
      <c r="CN53" s="343">
        <v>0</v>
      </c>
      <c r="CO53" s="343">
        <v>0</v>
      </c>
      <c r="CP53" s="343">
        <v>962</v>
      </c>
      <c r="CQ53" s="343">
        <v>0</v>
      </c>
      <c r="CR53" s="343">
        <v>0</v>
      </c>
      <c r="CS53" s="808">
        <f t="shared" si="50"/>
        <v>962</v>
      </c>
      <c r="CT53" s="211">
        <f t="shared" si="51"/>
        <v>160.33333333333334</v>
      </c>
      <c r="CU53" s="346">
        <v>0</v>
      </c>
      <c r="CV53" s="343">
        <v>0</v>
      </c>
      <c r="CW53" s="343">
        <v>0</v>
      </c>
      <c r="CX53" s="343">
        <v>0</v>
      </c>
      <c r="CY53" s="343">
        <v>0</v>
      </c>
      <c r="CZ53" s="343">
        <v>0</v>
      </c>
      <c r="DA53" s="808">
        <f t="shared" si="52"/>
        <v>0</v>
      </c>
      <c r="DB53" s="211">
        <f t="shared" si="53"/>
        <v>0</v>
      </c>
      <c r="DC53" s="346">
        <v>0</v>
      </c>
      <c r="DD53" s="343">
        <v>608</v>
      </c>
      <c r="DE53" s="343">
        <v>0</v>
      </c>
      <c r="DF53" s="343">
        <v>0</v>
      </c>
      <c r="DG53" s="343"/>
      <c r="DH53" s="343">
        <v>0</v>
      </c>
      <c r="DI53" s="808">
        <f t="shared" si="54"/>
        <v>608</v>
      </c>
      <c r="DJ53" s="211">
        <f t="shared" si="55"/>
        <v>101.33333333333333</v>
      </c>
      <c r="DK53" s="346">
        <v>0</v>
      </c>
      <c r="DL53" s="343">
        <v>989</v>
      </c>
      <c r="DM53" s="343">
        <v>0</v>
      </c>
      <c r="DN53" s="343">
        <v>0</v>
      </c>
      <c r="DO53" s="343">
        <v>0</v>
      </c>
      <c r="DP53" s="343">
        <v>0</v>
      </c>
      <c r="DQ53" s="808">
        <f t="shared" si="56"/>
        <v>989</v>
      </c>
      <c r="DR53" s="211">
        <f t="shared" si="57"/>
        <v>164.83333333333334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0</v>
      </c>
      <c r="DY53" s="808">
        <f t="shared" si="58"/>
        <v>0</v>
      </c>
      <c r="DZ53" s="211">
        <f t="shared" si="59"/>
        <v>0</v>
      </c>
      <c r="EA53" s="346">
        <v>0</v>
      </c>
      <c r="EB53" s="343">
        <v>0</v>
      </c>
      <c r="EC53" s="343"/>
      <c r="ED53" s="343">
        <v>655</v>
      </c>
      <c r="EE53" s="343">
        <v>0</v>
      </c>
      <c r="EF53" s="343">
        <v>0</v>
      </c>
      <c r="EG53" s="808">
        <f t="shared" si="60"/>
        <v>655</v>
      </c>
      <c r="EH53" s="211">
        <f t="shared" si="61"/>
        <v>109.16666666666667</v>
      </c>
      <c r="EI53" s="346">
        <v>0</v>
      </c>
      <c r="EJ53" s="343">
        <v>584</v>
      </c>
      <c r="EK53" s="343">
        <v>0</v>
      </c>
      <c r="EL53" s="343">
        <v>643</v>
      </c>
      <c r="EM53" s="343">
        <v>0</v>
      </c>
      <c r="EN53" s="343">
        <v>0</v>
      </c>
      <c r="EO53" s="808">
        <f t="shared" si="62"/>
        <v>1227</v>
      </c>
      <c r="EP53" s="211">
        <f t="shared" si="63"/>
        <v>204.5</v>
      </c>
      <c r="EQ53" s="346">
        <v>0</v>
      </c>
      <c r="ER53" s="343">
        <v>0</v>
      </c>
      <c r="ES53" s="343">
        <v>0</v>
      </c>
      <c r="ET53" s="343">
        <v>645</v>
      </c>
      <c r="EU53" s="343">
        <v>0</v>
      </c>
      <c r="EV53" s="343">
        <v>0</v>
      </c>
      <c r="EW53" s="808">
        <f t="shared" si="64"/>
        <v>645</v>
      </c>
      <c r="EX53" s="211">
        <f t="shared" si="65"/>
        <v>107.5</v>
      </c>
      <c r="EY53" s="346">
        <v>0</v>
      </c>
      <c r="EZ53" s="343">
        <v>0</v>
      </c>
      <c r="FA53" s="343">
        <v>0</v>
      </c>
      <c r="FB53" s="343">
        <v>0</v>
      </c>
      <c r="FC53" s="343">
        <v>0</v>
      </c>
      <c r="FD53" s="343">
        <v>0</v>
      </c>
      <c r="FE53" s="808">
        <f t="shared" si="66"/>
        <v>0</v>
      </c>
      <c r="FF53" s="211">
        <f t="shared" si="67"/>
        <v>0</v>
      </c>
      <c r="FG53" s="755">
        <v>0</v>
      </c>
      <c r="FH53" s="345">
        <v>0</v>
      </c>
      <c r="FI53" s="345">
        <v>637</v>
      </c>
      <c r="FJ53" s="345">
        <v>0</v>
      </c>
      <c r="FK53" s="345">
        <v>0</v>
      </c>
      <c r="FL53" s="345">
        <v>0</v>
      </c>
      <c r="FM53" s="808">
        <f t="shared" si="68"/>
        <v>637</v>
      </c>
      <c r="FN53" s="211">
        <f t="shared" si="69"/>
        <v>106.16666666666667</v>
      </c>
      <c r="FO53" s="346">
        <v>0</v>
      </c>
      <c r="FP53" s="343">
        <v>645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70"/>
        <v>645</v>
      </c>
      <c r="FV53" s="211">
        <f t="shared" si="71"/>
        <v>107.5</v>
      </c>
      <c r="FW53" s="346">
        <v>0</v>
      </c>
      <c r="FX53" s="343">
        <v>643</v>
      </c>
      <c r="FY53" s="343">
        <v>0</v>
      </c>
      <c r="FZ53" s="343">
        <v>0</v>
      </c>
      <c r="GA53" s="343">
        <v>0</v>
      </c>
      <c r="GB53" s="343">
        <v>0</v>
      </c>
      <c r="GC53" s="808">
        <f t="shared" si="72"/>
        <v>643</v>
      </c>
      <c r="GD53" s="211">
        <f t="shared" si="73"/>
        <v>107.16666666666667</v>
      </c>
      <c r="GE53" s="346">
        <v>641</v>
      </c>
      <c r="GF53" s="343">
        <v>0</v>
      </c>
      <c r="GG53" s="343">
        <v>0</v>
      </c>
      <c r="GH53" s="343">
        <v>0</v>
      </c>
      <c r="GI53" s="343">
        <v>0</v>
      </c>
      <c r="GJ53" s="343">
        <v>0</v>
      </c>
      <c r="GK53" s="808">
        <f t="shared" si="74"/>
        <v>641</v>
      </c>
      <c r="GL53" s="211">
        <f t="shared" si="75"/>
        <v>106.83333333333333</v>
      </c>
      <c r="GM53" s="755">
        <v>0</v>
      </c>
      <c r="GN53" s="345">
        <v>649</v>
      </c>
      <c r="GO53" s="345">
        <v>0</v>
      </c>
      <c r="GP53" s="345">
        <v>0</v>
      </c>
      <c r="GQ53" s="345">
        <v>0</v>
      </c>
      <c r="GR53" s="345">
        <v>0</v>
      </c>
      <c r="GS53" s="872">
        <f t="shared" si="76"/>
        <v>649</v>
      </c>
      <c r="GT53" s="873">
        <f t="shared" si="77"/>
        <v>108.16666666666667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658</v>
      </c>
      <c r="HA53" s="872">
        <f t="shared" si="78"/>
        <v>658</v>
      </c>
      <c r="HB53" s="873">
        <f t="shared" si="79"/>
        <v>109.66666666666667</v>
      </c>
      <c r="HC53" s="346">
        <v>0</v>
      </c>
      <c r="HD53" s="343">
        <v>0</v>
      </c>
      <c r="HE53" s="343">
        <v>0</v>
      </c>
      <c r="HF53" s="343">
        <v>0</v>
      </c>
      <c r="HG53" s="343">
        <v>643</v>
      </c>
      <c r="HH53" s="343">
        <v>0</v>
      </c>
      <c r="HI53" s="872">
        <f t="shared" si="80"/>
        <v>643</v>
      </c>
      <c r="HJ53" s="873">
        <f t="shared" si="81"/>
        <v>107.16666666666667</v>
      </c>
      <c r="HK53" s="346">
        <v>0</v>
      </c>
      <c r="HL53" s="343">
        <v>0</v>
      </c>
      <c r="HM53" s="343">
        <v>0</v>
      </c>
      <c r="HN53" s="343">
        <v>0</v>
      </c>
      <c r="HO53" s="343">
        <v>0</v>
      </c>
      <c r="HP53" s="343">
        <v>0</v>
      </c>
      <c r="HQ53" s="872">
        <f t="shared" si="82"/>
        <v>0</v>
      </c>
      <c r="HR53" s="873">
        <f t="shared" si="83"/>
        <v>0</v>
      </c>
      <c r="HS53" s="346">
        <v>0</v>
      </c>
      <c r="HT53" s="343">
        <v>863</v>
      </c>
      <c r="HU53" s="343"/>
      <c r="HV53" s="343"/>
      <c r="HW53" s="343"/>
      <c r="HX53" s="343"/>
      <c r="HY53" s="872">
        <f t="shared" si="84"/>
        <v>863</v>
      </c>
      <c r="HZ53" s="873">
        <f t="shared" si="85"/>
        <v>143.83333333333334</v>
      </c>
    </row>
    <row r="54" spans="1:234" s="323" customFormat="1" ht="15" customHeight="1" x14ac:dyDescent="0.2">
      <c r="A54" s="21">
        <v>43</v>
      </c>
      <c r="B54" s="21" t="s">
        <v>89</v>
      </c>
      <c r="C54" s="275" t="s">
        <v>90</v>
      </c>
      <c r="D54" s="21">
        <v>25</v>
      </c>
      <c r="E54" s="24"/>
      <c r="F54" s="24">
        <v>5391</v>
      </c>
      <c r="G54" s="24"/>
      <c r="H54" s="24"/>
      <c r="I54" s="360"/>
      <c r="J54" s="360">
        <f>SUMIF(SUMPK!$B:$B,$B:$B,SUMPK!$O:$O)</f>
        <v>976</v>
      </c>
      <c r="K54" s="24"/>
      <c r="L54" s="24">
        <f t="shared" si="86"/>
        <v>4415</v>
      </c>
      <c r="M54" s="15">
        <f t="shared" si="27"/>
        <v>4415</v>
      </c>
      <c r="N54" s="15">
        <v>0</v>
      </c>
      <c r="O54" s="276">
        <f t="shared" si="28"/>
        <v>0</v>
      </c>
      <c r="P54" s="15">
        <v>237.5</v>
      </c>
      <c r="Q54" s="711">
        <f t="shared" si="29"/>
        <v>1566.6666666666667</v>
      </c>
      <c r="R54" s="276">
        <f t="shared" si="30"/>
        <v>111.53684210526315</v>
      </c>
      <c r="S54" s="712">
        <f t="shared" si="31"/>
        <v>361.53846153846155</v>
      </c>
      <c r="T54" s="713">
        <v>9400</v>
      </c>
      <c r="U54" s="276">
        <f t="shared" si="92"/>
        <v>12.211702127659574</v>
      </c>
      <c r="V54" s="278"/>
      <c r="W54" s="276">
        <f t="shared" si="33"/>
        <v>12.211702127659574</v>
      </c>
      <c r="X54" s="823">
        <f t="shared" si="0"/>
        <v>1</v>
      </c>
      <c r="Y54" s="305">
        <v>18</v>
      </c>
      <c r="Z54" s="824"/>
      <c r="AA54" s="244">
        <v>0</v>
      </c>
      <c r="AB54" s="64">
        <v>0</v>
      </c>
      <c r="AC54" s="64">
        <v>440</v>
      </c>
      <c r="AD54" s="64">
        <v>571</v>
      </c>
      <c r="AE54" s="64">
        <v>470</v>
      </c>
      <c r="AF54" s="64">
        <v>2173</v>
      </c>
      <c r="AG54" s="64">
        <f t="shared" si="34"/>
        <v>3654</v>
      </c>
      <c r="AH54" s="211">
        <f t="shared" si="35"/>
        <v>609</v>
      </c>
      <c r="AI54" s="755">
        <v>0</v>
      </c>
      <c r="AJ54" s="345">
        <v>0</v>
      </c>
      <c r="AK54" s="345">
        <v>0</v>
      </c>
      <c r="AL54" s="345">
        <v>1956</v>
      </c>
      <c r="AM54" s="345">
        <v>0</v>
      </c>
      <c r="AN54" s="345">
        <v>688</v>
      </c>
      <c r="AO54" s="808">
        <f t="shared" si="36"/>
        <v>2644</v>
      </c>
      <c r="AP54" s="809">
        <f t="shared" si="37"/>
        <v>440.66666666666669</v>
      </c>
      <c r="AQ54" s="814">
        <v>0</v>
      </c>
      <c r="AR54" s="815">
        <v>0</v>
      </c>
      <c r="AS54" s="815">
        <v>0</v>
      </c>
      <c r="AT54" s="815">
        <v>163</v>
      </c>
      <c r="AU54" s="815">
        <v>0</v>
      </c>
      <c r="AV54" s="815">
        <v>971</v>
      </c>
      <c r="AW54" s="808">
        <f t="shared" si="38"/>
        <v>1134</v>
      </c>
      <c r="AX54" s="211">
        <f t="shared" si="39"/>
        <v>189</v>
      </c>
      <c r="AY54" s="346">
        <v>0</v>
      </c>
      <c r="AZ54" s="343">
        <v>1959</v>
      </c>
      <c r="BA54" s="343">
        <v>485</v>
      </c>
      <c r="BB54" s="343">
        <v>0</v>
      </c>
      <c r="BC54" s="343">
        <v>0</v>
      </c>
      <c r="BD54" s="343">
        <v>0</v>
      </c>
      <c r="BE54" s="808">
        <f t="shared" si="40"/>
        <v>2444</v>
      </c>
      <c r="BF54" s="211">
        <f t="shared" si="41"/>
        <v>407.33333333333331</v>
      </c>
      <c r="BG54" s="814">
        <v>1332</v>
      </c>
      <c r="BH54" s="815">
        <v>0</v>
      </c>
      <c r="BI54" s="815">
        <v>0</v>
      </c>
      <c r="BJ54" s="815">
        <v>0</v>
      </c>
      <c r="BK54" s="815">
        <v>0</v>
      </c>
      <c r="BL54" s="815">
        <v>1992</v>
      </c>
      <c r="BM54" s="808">
        <f t="shared" si="42"/>
        <v>3324</v>
      </c>
      <c r="BN54" s="211">
        <f t="shared" si="43"/>
        <v>554</v>
      </c>
      <c r="BO54" s="755">
        <v>0</v>
      </c>
      <c r="BP54" s="345">
        <v>0</v>
      </c>
      <c r="BQ54" s="345">
        <v>0</v>
      </c>
      <c r="BR54" s="345">
        <v>1970</v>
      </c>
      <c r="BS54" s="345">
        <v>0</v>
      </c>
      <c r="BT54" s="345">
        <v>0</v>
      </c>
      <c r="BU54" s="808">
        <f t="shared" si="44"/>
        <v>1970</v>
      </c>
      <c r="BV54" s="211">
        <f t="shared" si="45"/>
        <v>328.33333333333331</v>
      </c>
      <c r="BW54" s="755">
        <v>0</v>
      </c>
      <c r="BX54" s="345">
        <v>1998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6"/>
        <v>1998</v>
      </c>
      <c r="CD54" s="211">
        <f t="shared" si="47"/>
        <v>333</v>
      </c>
      <c r="CE54" s="346">
        <v>110</v>
      </c>
      <c r="CF54" s="343">
        <v>1537</v>
      </c>
      <c r="CG54" s="343">
        <v>0</v>
      </c>
      <c r="CH54" s="343">
        <v>0</v>
      </c>
      <c r="CI54" s="343">
        <v>0</v>
      </c>
      <c r="CJ54" s="343">
        <v>946</v>
      </c>
      <c r="CK54" s="808">
        <f t="shared" si="48"/>
        <v>2593</v>
      </c>
      <c r="CL54" s="211">
        <f t="shared" si="49"/>
        <v>432.16666666666669</v>
      </c>
      <c r="CM54" s="346">
        <v>440</v>
      </c>
      <c r="CN54" s="343">
        <v>1496</v>
      </c>
      <c r="CO54" s="343">
        <v>0</v>
      </c>
      <c r="CP54" s="343">
        <v>0</v>
      </c>
      <c r="CQ54" s="343">
        <v>1902</v>
      </c>
      <c r="CR54" s="343">
        <v>0</v>
      </c>
      <c r="CS54" s="808">
        <f t="shared" si="50"/>
        <v>3838</v>
      </c>
      <c r="CT54" s="211">
        <f t="shared" si="51"/>
        <v>639.66666666666663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2"/>
        <v>0</v>
      </c>
      <c r="DB54" s="211">
        <f t="shared" si="53"/>
        <v>0</v>
      </c>
      <c r="DC54" s="346">
        <v>2978</v>
      </c>
      <c r="DD54" s="343">
        <v>0</v>
      </c>
      <c r="DE54" s="343">
        <v>0</v>
      </c>
      <c r="DF54" s="343">
        <v>0</v>
      </c>
      <c r="DG54" s="343"/>
      <c r="DH54" s="343">
        <v>1673</v>
      </c>
      <c r="DI54" s="808">
        <f t="shared" si="54"/>
        <v>4651</v>
      </c>
      <c r="DJ54" s="211">
        <f t="shared" si="55"/>
        <v>775.16666666666663</v>
      </c>
      <c r="DK54" s="346">
        <v>0</v>
      </c>
      <c r="DL54" s="343">
        <v>1968</v>
      </c>
      <c r="DM54" s="343">
        <v>0</v>
      </c>
      <c r="DN54" s="343">
        <v>0</v>
      </c>
      <c r="DO54" s="343">
        <v>0</v>
      </c>
      <c r="DP54" s="343">
        <v>1928</v>
      </c>
      <c r="DQ54" s="808">
        <f t="shared" si="56"/>
        <v>3896</v>
      </c>
      <c r="DR54" s="211">
        <f t="shared" si="57"/>
        <v>649.33333333333337</v>
      </c>
      <c r="DS54" s="346">
        <v>0</v>
      </c>
      <c r="DT54" s="343">
        <v>0</v>
      </c>
      <c r="DU54" s="343">
        <v>1327</v>
      </c>
      <c r="DV54" s="343">
        <v>0</v>
      </c>
      <c r="DW54" s="343">
        <v>925</v>
      </c>
      <c r="DX54" s="343">
        <v>1606</v>
      </c>
      <c r="DY54" s="808">
        <f t="shared" si="58"/>
        <v>3858</v>
      </c>
      <c r="DZ54" s="211">
        <f t="shared" si="59"/>
        <v>643</v>
      </c>
      <c r="EA54" s="346">
        <v>1635</v>
      </c>
      <c r="EB54" s="343">
        <v>0</v>
      </c>
      <c r="EC54" s="343"/>
      <c r="ED54" s="343">
        <v>0</v>
      </c>
      <c r="EE54" s="343">
        <v>0</v>
      </c>
      <c r="EF54" s="343">
        <v>993</v>
      </c>
      <c r="EG54" s="808">
        <f t="shared" si="60"/>
        <v>2628</v>
      </c>
      <c r="EH54" s="211">
        <f t="shared" si="61"/>
        <v>438</v>
      </c>
      <c r="EI54" s="346">
        <v>0</v>
      </c>
      <c r="EJ54" s="343">
        <v>1526</v>
      </c>
      <c r="EK54" s="343">
        <v>0</v>
      </c>
      <c r="EL54" s="343">
        <v>1671</v>
      </c>
      <c r="EM54" s="343">
        <v>0</v>
      </c>
      <c r="EN54" s="343">
        <v>0</v>
      </c>
      <c r="EO54" s="808">
        <f t="shared" si="62"/>
        <v>3197</v>
      </c>
      <c r="EP54" s="211">
        <f t="shared" si="63"/>
        <v>532.83333333333337</v>
      </c>
      <c r="EQ54" s="346">
        <v>0</v>
      </c>
      <c r="ER54" s="343">
        <v>0</v>
      </c>
      <c r="ES54" s="343">
        <v>0</v>
      </c>
      <c r="ET54" s="343">
        <v>1922</v>
      </c>
      <c r="EU54" s="343">
        <v>0</v>
      </c>
      <c r="EV54" s="343">
        <v>0</v>
      </c>
      <c r="EW54" s="808">
        <f t="shared" si="64"/>
        <v>1922</v>
      </c>
      <c r="EX54" s="211">
        <f t="shared" si="65"/>
        <v>320.33333333333331</v>
      </c>
      <c r="EY54" s="346">
        <v>1760</v>
      </c>
      <c r="EZ54" s="343">
        <v>182</v>
      </c>
      <c r="FA54" s="343">
        <v>0</v>
      </c>
      <c r="FB54" s="343">
        <v>1619</v>
      </c>
      <c r="FC54" s="343">
        <v>0</v>
      </c>
      <c r="FD54" s="343">
        <v>0</v>
      </c>
      <c r="FE54" s="808">
        <f t="shared" si="66"/>
        <v>3561</v>
      </c>
      <c r="FF54" s="211">
        <f t="shared" si="67"/>
        <v>593.5</v>
      </c>
      <c r="FG54" s="755">
        <v>0</v>
      </c>
      <c r="FH54" s="345">
        <v>1917</v>
      </c>
      <c r="FI54" s="345">
        <v>0</v>
      </c>
      <c r="FJ54" s="345">
        <v>0</v>
      </c>
      <c r="FK54" s="345">
        <v>1540</v>
      </c>
      <c r="FL54" s="345">
        <v>0</v>
      </c>
      <c r="FM54" s="808">
        <f t="shared" si="68"/>
        <v>3457</v>
      </c>
      <c r="FN54" s="211">
        <f t="shared" si="69"/>
        <v>576.16666666666663</v>
      </c>
      <c r="FO54" s="346">
        <v>0</v>
      </c>
      <c r="FP54" s="343">
        <v>1320</v>
      </c>
      <c r="FQ54" s="343">
        <v>329</v>
      </c>
      <c r="FR54" s="343">
        <v>0</v>
      </c>
      <c r="FS54" s="343">
        <v>1965</v>
      </c>
      <c r="FT54" s="343">
        <v>657</v>
      </c>
      <c r="FU54" s="808">
        <f t="shared" si="70"/>
        <v>4271</v>
      </c>
      <c r="FV54" s="211">
        <f t="shared" si="71"/>
        <v>711.83333333333337</v>
      </c>
      <c r="FW54" s="346">
        <v>0</v>
      </c>
      <c r="FX54" s="343">
        <v>0</v>
      </c>
      <c r="FY54" s="343">
        <v>1963</v>
      </c>
      <c r="FZ54" s="343">
        <v>0</v>
      </c>
      <c r="GA54" s="343">
        <v>1282</v>
      </c>
      <c r="GB54" s="343">
        <v>0</v>
      </c>
      <c r="GC54" s="808">
        <f t="shared" si="72"/>
        <v>3245</v>
      </c>
      <c r="GD54" s="211">
        <f t="shared" si="73"/>
        <v>540.83333333333337</v>
      </c>
      <c r="GE54" s="346">
        <v>0</v>
      </c>
      <c r="GF54" s="343">
        <v>0</v>
      </c>
      <c r="GG54" s="343">
        <v>1524</v>
      </c>
      <c r="GH54" s="343">
        <v>0</v>
      </c>
      <c r="GI54" s="343">
        <v>0</v>
      </c>
      <c r="GJ54" s="343">
        <v>0</v>
      </c>
      <c r="GK54" s="808">
        <f t="shared" si="74"/>
        <v>1524</v>
      </c>
      <c r="GL54" s="211">
        <f t="shared" si="75"/>
        <v>254</v>
      </c>
      <c r="GM54" s="755">
        <v>0</v>
      </c>
      <c r="GN54" s="345">
        <v>2640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6"/>
        <v>2640</v>
      </c>
      <c r="GT54" s="873">
        <f t="shared" si="77"/>
        <v>440</v>
      </c>
      <c r="GU54" s="346">
        <v>1284</v>
      </c>
      <c r="GV54" s="343">
        <v>964</v>
      </c>
      <c r="GW54" s="343">
        <v>0</v>
      </c>
      <c r="GX54" s="343">
        <v>1634</v>
      </c>
      <c r="GY54" s="343">
        <v>0</v>
      </c>
      <c r="GZ54" s="343">
        <v>0</v>
      </c>
      <c r="HA54" s="872">
        <f t="shared" si="78"/>
        <v>3882</v>
      </c>
      <c r="HB54" s="873">
        <f t="shared" si="79"/>
        <v>647</v>
      </c>
      <c r="HC54" s="346">
        <v>0</v>
      </c>
      <c r="HD54" s="343">
        <v>1014</v>
      </c>
      <c r="HE54" s="343">
        <v>1882</v>
      </c>
      <c r="HF54" s="343">
        <v>330</v>
      </c>
      <c r="HG54" s="343">
        <v>1283</v>
      </c>
      <c r="HH54" s="343">
        <v>1622</v>
      </c>
      <c r="HI54" s="872">
        <f t="shared" si="80"/>
        <v>6131</v>
      </c>
      <c r="HJ54" s="873">
        <f t="shared" si="81"/>
        <v>1021.8333333333334</v>
      </c>
      <c r="HK54" s="346">
        <v>0</v>
      </c>
      <c r="HL54" s="343">
        <v>0</v>
      </c>
      <c r="HM54" s="343">
        <v>0</v>
      </c>
      <c r="HN54" s="343">
        <v>0</v>
      </c>
      <c r="HO54" s="343">
        <v>0</v>
      </c>
      <c r="HP54" s="343">
        <v>0</v>
      </c>
      <c r="HQ54" s="872">
        <f t="shared" si="82"/>
        <v>0</v>
      </c>
      <c r="HR54" s="873">
        <f t="shared" si="83"/>
        <v>0</v>
      </c>
      <c r="HS54" s="346">
        <v>1992</v>
      </c>
      <c r="HT54" s="343">
        <v>0</v>
      </c>
      <c r="HU54" s="343"/>
      <c r="HV54" s="343"/>
      <c r="HW54" s="343"/>
      <c r="HX54" s="343"/>
      <c r="HY54" s="872">
        <f t="shared" si="84"/>
        <v>1992</v>
      </c>
      <c r="HZ54" s="873">
        <f t="shared" si="85"/>
        <v>332</v>
      </c>
    </row>
    <row r="55" spans="1:234" s="323" customFormat="1" ht="15" customHeight="1" x14ac:dyDescent="0.2">
      <c r="A55" s="21">
        <v>44</v>
      </c>
      <c r="B55" s="21" t="s">
        <v>145</v>
      </c>
      <c r="C55" s="275" t="s">
        <v>144</v>
      </c>
      <c r="D55" s="21">
        <v>25</v>
      </c>
      <c r="E55" s="24"/>
      <c r="F55" s="24">
        <v>3805</v>
      </c>
      <c r="G55" s="24"/>
      <c r="H55" s="24"/>
      <c r="I55" s="24"/>
      <c r="J55" s="360">
        <f>SUMIF(SUMPK!$B:$B,$B:$B,SUMPK!$O:$O)</f>
        <v>0</v>
      </c>
      <c r="K55" s="24"/>
      <c r="L55" s="24">
        <f t="shared" si="86"/>
        <v>3805</v>
      </c>
      <c r="M55" s="15">
        <f t="shared" si="27"/>
        <v>3805</v>
      </c>
      <c r="N55" s="15">
        <v>0</v>
      </c>
      <c r="O55" s="276">
        <f t="shared" si="28"/>
        <v>0</v>
      </c>
      <c r="P55" s="15">
        <v>55.833333333333336</v>
      </c>
      <c r="Q55" s="711">
        <f t="shared" si="29"/>
        <v>426.66666666666669</v>
      </c>
      <c r="R55" s="276">
        <f t="shared" si="30"/>
        <v>408.8955223880597</v>
      </c>
      <c r="S55" s="712">
        <f t="shared" si="31"/>
        <v>98.461538461538467</v>
      </c>
      <c r="T55" s="713">
        <v>2560</v>
      </c>
      <c r="U55" s="276">
        <f t="shared" si="92"/>
        <v>38.64453125</v>
      </c>
      <c r="V55" s="278"/>
      <c r="W55" s="276">
        <f t="shared" si="33"/>
        <v>38.64453125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0</v>
      </c>
      <c r="AD55" s="64">
        <v>0</v>
      </c>
      <c r="AE55" s="64">
        <v>0</v>
      </c>
      <c r="AF55" s="64">
        <v>0</v>
      </c>
      <c r="AG55" s="64">
        <f t="shared" si="34"/>
        <v>0</v>
      </c>
      <c r="AH55" s="211">
        <f t="shared" si="35"/>
        <v>0</v>
      </c>
      <c r="AI55" s="755">
        <v>686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808">
        <f t="shared" si="36"/>
        <v>686</v>
      </c>
      <c r="AP55" s="809">
        <f t="shared" si="37"/>
        <v>114.33333333333333</v>
      </c>
      <c r="AQ55" s="814">
        <v>0</v>
      </c>
      <c r="AR55" s="815">
        <v>0</v>
      </c>
      <c r="AS55" s="815">
        <v>0</v>
      </c>
      <c r="AT55" s="815">
        <v>675</v>
      </c>
      <c r="AU55" s="815">
        <v>294</v>
      </c>
      <c r="AV55" s="815">
        <v>0</v>
      </c>
      <c r="AW55" s="808">
        <f t="shared" si="38"/>
        <v>969</v>
      </c>
      <c r="AX55" s="211">
        <f t="shared" si="39"/>
        <v>161.5</v>
      </c>
      <c r="AY55" s="346">
        <v>0</v>
      </c>
      <c r="AZ55" s="343">
        <v>0</v>
      </c>
      <c r="BA55" s="343">
        <v>0</v>
      </c>
      <c r="BB55" s="343">
        <v>0</v>
      </c>
      <c r="BC55" s="343">
        <v>220</v>
      </c>
      <c r="BD55" s="343">
        <v>418</v>
      </c>
      <c r="BE55" s="808">
        <f t="shared" si="40"/>
        <v>638</v>
      </c>
      <c r="BF55" s="211">
        <f t="shared" si="41"/>
        <v>106.33333333333333</v>
      </c>
      <c r="BG55" s="814">
        <v>0</v>
      </c>
      <c r="BH55" s="815">
        <v>0</v>
      </c>
      <c r="BI55" s="815">
        <v>309</v>
      </c>
      <c r="BJ55" s="815">
        <v>0</v>
      </c>
      <c r="BK55" s="815">
        <v>0</v>
      </c>
      <c r="BL55" s="815">
        <v>0</v>
      </c>
      <c r="BM55" s="808">
        <f t="shared" si="42"/>
        <v>309</v>
      </c>
      <c r="BN55" s="211">
        <f t="shared" si="43"/>
        <v>51.5</v>
      </c>
      <c r="BO55" s="755">
        <v>0</v>
      </c>
      <c r="BP55" s="345">
        <v>614</v>
      </c>
      <c r="BQ55" s="345">
        <v>0</v>
      </c>
      <c r="BR55" s="345">
        <v>0</v>
      </c>
      <c r="BS55" s="345">
        <v>0</v>
      </c>
      <c r="BT55" s="345">
        <v>0</v>
      </c>
      <c r="BU55" s="808">
        <f t="shared" si="44"/>
        <v>614</v>
      </c>
      <c r="BV55" s="211">
        <f t="shared" si="45"/>
        <v>102.33333333333333</v>
      </c>
      <c r="BW55" s="755">
        <v>0</v>
      </c>
      <c r="BX55" s="345">
        <v>0</v>
      </c>
      <c r="BY55" s="345">
        <v>0</v>
      </c>
      <c r="BZ55" s="345">
        <v>0</v>
      </c>
      <c r="CA55" s="345">
        <v>0</v>
      </c>
      <c r="CB55" s="345">
        <v>311</v>
      </c>
      <c r="CC55" s="808">
        <f t="shared" si="46"/>
        <v>311</v>
      </c>
      <c r="CD55" s="211">
        <f t="shared" si="47"/>
        <v>51.833333333333336</v>
      </c>
      <c r="CE55" s="346">
        <v>0</v>
      </c>
      <c r="CF55" s="343">
        <v>0</v>
      </c>
      <c r="CG55" s="343">
        <v>0</v>
      </c>
      <c r="CH55" s="343">
        <v>0</v>
      </c>
      <c r="CI55" s="343">
        <v>0</v>
      </c>
      <c r="CJ55" s="343">
        <v>602</v>
      </c>
      <c r="CK55" s="808">
        <f t="shared" si="48"/>
        <v>602</v>
      </c>
      <c r="CL55" s="211">
        <f t="shared" si="49"/>
        <v>100.33333333333333</v>
      </c>
      <c r="CM55" s="346">
        <v>0</v>
      </c>
      <c r="CN55" s="343">
        <v>0</v>
      </c>
      <c r="CO55" s="343">
        <v>0</v>
      </c>
      <c r="CP55" s="343">
        <v>663</v>
      </c>
      <c r="CQ55" s="343">
        <v>0</v>
      </c>
      <c r="CR55" s="343">
        <v>0</v>
      </c>
      <c r="CS55" s="808">
        <f t="shared" si="50"/>
        <v>663</v>
      </c>
      <c r="CT55" s="211">
        <f t="shared" si="51"/>
        <v>110.5</v>
      </c>
      <c r="CU55" s="346">
        <v>0</v>
      </c>
      <c r="CV55" s="343">
        <v>0</v>
      </c>
      <c r="CW55" s="343">
        <v>329</v>
      </c>
      <c r="CX55" s="343">
        <v>0</v>
      </c>
      <c r="CY55" s="343">
        <v>0</v>
      </c>
      <c r="CZ55" s="343">
        <v>0</v>
      </c>
      <c r="DA55" s="808">
        <f t="shared" si="52"/>
        <v>329</v>
      </c>
      <c r="DB55" s="211">
        <f t="shared" si="53"/>
        <v>54.833333333333336</v>
      </c>
      <c r="DC55" s="346">
        <v>0</v>
      </c>
      <c r="DD55" s="343">
        <v>0</v>
      </c>
      <c r="DE55" s="343">
        <v>0</v>
      </c>
      <c r="DF55" s="343">
        <v>0</v>
      </c>
      <c r="DG55" s="343"/>
      <c r="DH55" s="343">
        <v>0</v>
      </c>
      <c r="DI55" s="808">
        <f t="shared" si="54"/>
        <v>0</v>
      </c>
      <c r="DJ55" s="211">
        <f t="shared" si="55"/>
        <v>0</v>
      </c>
      <c r="DK55" s="346">
        <v>0</v>
      </c>
      <c r="DL55" s="343">
        <v>0</v>
      </c>
      <c r="DM55" s="343">
        <v>0</v>
      </c>
      <c r="DN55" s="343">
        <v>0</v>
      </c>
      <c r="DO55" s="343">
        <v>0</v>
      </c>
      <c r="DP55" s="343">
        <v>0</v>
      </c>
      <c r="DQ55" s="808">
        <f t="shared" si="56"/>
        <v>0</v>
      </c>
      <c r="DR55" s="211">
        <f t="shared" si="57"/>
        <v>0</v>
      </c>
      <c r="DS55" s="346">
        <v>0</v>
      </c>
      <c r="DT55" s="343">
        <v>677</v>
      </c>
      <c r="DU55" s="343">
        <v>0</v>
      </c>
      <c r="DV55" s="343">
        <v>0</v>
      </c>
      <c r="DW55" s="343">
        <v>0</v>
      </c>
      <c r="DX55" s="343">
        <v>0</v>
      </c>
      <c r="DY55" s="808">
        <f t="shared" si="58"/>
        <v>677</v>
      </c>
      <c r="DZ55" s="211">
        <f t="shared" si="59"/>
        <v>112.83333333333333</v>
      </c>
      <c r="EA55" s="346">
        <v>0</v>
      </c>
      <c r="EB55" s="343">
        <v>0</v>
      </c>
      <c r="EC55" s="343"/>
      <c r="ED55" s="343">
        <v>0</v>
      </c>
      <c r="EE55" s="343">
        <v>0</v>
      </c>
      <c r="EF55" s="343">
        <v>0</v>
      </c>
      <c r="EG55" s="808">
        <f t="shared" si="60"/>
        <v>0</v>
      </c>
      <c r="EH55" s="211">
        <f t="shared" si="61"/>
        <v>0</v>
      </c>
      <c r="EI55" s="346">
        <v>0</v>
      </c>
      <c r="EJ55" s="343">
        <v>0</v>
      </c>
      <c r="EK55" s="343">
        <v>0</v>
      </c>
      <c r="EL55" s="343">
        <v>336</v>
      </c>
      <c r="EM55" s="343">
        <v>0</v>
      </c>
      <c r="EN55" s="343">
        <v>0</v>
      </c>
      <c r="EO55" s="808">
        <f t="shared" si="62"/>
        <v>336</v>
      </c>
      <c r="EP55" s="211">
        <f t="shared" si="63"/>
        <v>56</v>
      </c>
      <c r="EQ55" s="346">
        <v>0</v>
      </c>
      <c r="ER55" s="343">
        <v>0</v>
      </c>
      <c r="ES55" s="343">
        <v>0</v>
      </c>
      <c r="ET55" s="343">
        <v>314</v>
      </c>
      <c r="EU55" s="343">
        <v>0</v>
      </c>
      <c r="EV55" s="343">
        <v>0</v>
      </c>
      <c r="EW55" s="808">
        <f t="shared" si="64"/>
        <v>314</v>
      </c>
      <c r="EX55" s="211">
        <f t="shared" si="65"/>
        <v>52.333333333333336</v>
      </c>
      <c r="EY55" s="346">
        <v>0</v>
      </c>
      <c r="EZ55" s="343">
        <v>0</v>
      </c>
      <c r="FA55" s="343">
        <v>0</v>
      </c>
      <c r="FB55" s="343">
        <v>0</v>
      </c>
      <c r="FC55" s="343">
        <v>0</v>
      </c>
      <c r="FD55" s="343">
        <v>312</v>
      </c>
      <c r="FE55" s="808">
        <f t="shared" si="66"/>
        <v>312</v>
      </c>
      <c r="FF55" s="211">
        <f t="shared" si="67"/>
        <v>52</v>
      </c>
      <c r="FG55" s="755">
        <v>0</v>
      </c>
      <c r="FH55" s="345">
        <v>0</v>
      </c>
      <c r="FI55" s="345">
        <v>0</v>
      </c>
      <c r="FJ55" s="345">
        <v>0</v>
      </c>
      <c r="FK55" s="345">
        <v>0</v>
      </c>
      <c r="FL55" s="345">
        <v>0</v>
      </c>
      <c r="FM55" s="808">
        <f t="shared" si="68"/>
        <v>0</v>
      </c>
      <c r="FN55" s="211">
        <f t="shared" si="69"/>
        <v>0</v>
      </c>
      <c r="FO55" s="346">
        <v>0</v>
      </c>
      <c r="FP55" s="343">
        <v>0</v>
      </c>
      <c r="FQ55" s="343">
        <v>0</v>
      </c>
      <c r="FR55" s="343">
        <v>0</v>
      </c>
      <c r="FS55" s="343">
        <v>0</v>
      </c>
      <c r="FT55" s="343">
        <v>333</v>
      </c>
      <c r="FU55" s="808">
        <f t="shared" si="70"/>
        <v>333</v>
      </c>
      <c r="FV55" s="211">
        <f t="shared" si="71"/>
        <v>55.5</v>
      </c>
      <c r="FW55" s="346">
        <v>0</v>
      </c>
      <c r="FX55" s="343">
        <v>0</v>
      </c>
      <c r="FY55" s="343">
        <v>0</v>
      </c>
      <c r="FZ55" s="343">
        <v>0</v>
      </c>
      <c r="GA55" s="343">
        <v>325</v>
      </c>
      <c r="GB55" s="343">
        <v>0</v>
      </c>
      <c r="GC55" s="808">
        <f t="shared" si="72"/>
        <v>325</v>
      </c>
      <c r="GD55" s="211">
        <f t="shared" si="73"/>
        <v>54.166666666666664</v>
      </c>
      <c r="GE55" s="346">
        <v>0</v>
      </c>
      <c r="GF55" s="343">
        <v>0</v>
      </c>
      <c r="GG55" s="343">
        <v>0</v>
      </c>
      <c r="GH55" s="343">
        <v>0</v>
      </c>
      <c r="GI55" s="343">
        <v>0</v>
      </c>
      <c r="GJ55" s="343">
        <v>0</v>
      </c>
      <c r="GK55" s="808">
        <f t="shared" si="74"/>
        <v>0</v>
      </c>
      <c r="GL55" s="211">
        <f t="shared" si="75"/>
        <v>0</v>
      </c>
      <c r="GM55" s="755">
        <v>0</v>
      </c>
      <c r="GN55" s="345">
        <v>0</v>
      </c>
      <c r="GO55" s="345">
        <v>0</v>
      </c>
      <c r="GP55" s="345">
        <v>0</v>
      </c>
      <c r="GQ55" s="345">
        <v>307</v>
      </c>
      <c r="GR55" s="345">
        <v>0</v>
      </c>
      <c r="GS55" s="872">
        <f t="shared" si="76"/>
        <v>307</v>
      </c>
      <c r="GT55" s="873">
        <f t="shared" si="77"/>
        <v>51.166666666666664</v>
      </c>
      <c r="GU55" s="346">
        <v>0</v>
      </c>
      <c r="GV55" s="343">
        <v>0</v>
      </c>
      <c r="GW55" s="343">
        <v>0</v>
      </c>
      <c r="GX55" s="343">
        <v>0</v>
      </c>
      <c r="GY55" s="343">
        <v>0</v>
      </c>
      <c r="GZ55" s="343">
        <v>0</v>
      </c>
      <c r="HA55" s="872">
        <f t="shared" si="78"/>
        <v>0</v>
      </c>
      <c r="HB55" s="873">
        <f t="shared" si="79"/>
        <v>0</v>
      </c>
      <c r="HC55" s="346">
        <v>0</v>
      </c>
      <c r="HD55" s="343">
        <v>0</v>
      </c>
      <c r="HE55" s="343">
        <v>0</v>
      </c>
      <c r="HF55" s="343">
        <v>0</v>
      </c>
      <c r="HG55" s="343">
        <v>348</v>
      </c>
      <c r="HH55" s="343">
        <v>0</v>
      </c>
      <c r="HI55" s="872">
        <f t="shared" si="80"/>
        <v>348</v>
      </c>
      <c r="HJ55" s="873">
        <f t="shared" si="81"/>
        <v>58</v>
      </c>
      <c r="HK55" s="346">
        <v>0</v>
      </c>
      <c r="HL55" s="343">
        <v>0</v>
      </c>
      <c r="HM55" s="343">
        <v>0</v>
      </c>
      <c r="HN55" s="343">
        <v>0</v>
      </c>
      <c r="HO55" s="343">
        <v>0</v>
      </c>
      <c r="HP55" s="343">
        <v>0</v>
      </c>
      <c r="HQ55" s="872">
        <f t="shared" si="82"/>
        <v>0</v>
      </c>
      <c r="HR55" s="873">
        <f t="shared" si="83"/>
        <v>0</v>
      </c>
      <c r="HS55" s="346">
        <v>0</v>
      </c>
      <c r="HT55" s="343">
        <v>0</v>
      </c>
      <c r="HU55" s="343"/>
      <c r="HV55" s="343"/>
      <c r="HW55" s="343"/>
      <c r="HX55" s="343"/>
      <c r="HY55" s="872">
        <f t="shared" si="84"/>
        <v>0</v>
      </c>
      <c r="HZ55" s="873">
        <f t="shared" si="85"/>
        <v>0</v>
      </c>
    </row>
    <row r="56" spans="1:234" s="323" customFormat="1" ht="15" customHeight="1" x14ac:dyDescent="0.2">
      <c r="A56" s="21">
        <v>45</v>
      </c>
      <c r="B56" s="21" t="s">
        <v>91</v>
      </c>
      <c r="C56" s="275" t="s">
        <v>92</v>
      </c>
      <c r="D56" s="21">
        <v>25</v>
      </c>
      <c r="E56" s="24"/>
      <c r="F56" s="24">
        <v>7784</v>
      </c>
      <c r="G56" s="24"/>
      <c r="H56" s="24"/>
      <c r="I56" s="360"/>
      <c r="J56" s="360">
        <f>SUMIF(SUMPK!$B:$B,$B:$B,SUMPK!$O:$O)</f>
        <v>1077</v>
      </c>
      <c r="K56" s="24"/>
      <c r="L56" s="24">
        <f t="shared" si="86"/>
        <v>6707</v>
      </c>
      <c r="M56" s="15">
        <f t="shared" si="27"/>
        <v>6707</v>
      </c>
      <c r="N56" s="15">
        <v>1453.1666666666667</v>
      </c>
      <c r="O56" s="276">
        <f t="shared" si="28"/>
        <v>4.6154375501777727</v>
      </c>
      <c r="P56" s="15">
        <v>972.66666666666663</v>
      </c>
      <c r="Q56" s="711">
        <f t="shared" si="29"/>
        <v>7333.333333333333</v>
      </c>
      <c r="R56" s="276">
        <f t="shared" si="30"/>
        <v>41.372858122001375</v>
      </c>
      <c r="S56" s="712">
        <f t="shared" si="31"/>
        <v>1692.3076923076924</v>
      </c>
      <c r="T56" s="713">
        <v>44000</v>
      </c>
      <c r="U56" s="276">
        <f t="shared" si="92"/>
        <v>3.9632272727272726</v>
      </c>
      <c r="V56" s="278"/>
      <c r="W56" s="276">
        <f t="shared" si="33"/>
        <v>3.9632272727272726</v>
      </c>
      <c r="X56" s="823">
        <f t="shared" si="0"/>
        <v>1</v>
      </c>
      <c r="Y56" s="305">
        <v>18</v>
      </c>
      <c r="Z56" s="824"/>
      <c r="AA56" s="244">
        <v>2148</v>
      </c>
      <c r="AB56" s="64">
        <v>1766</v>
      </c>
      <c r="AC56" s="64">
        <v>0</v>
      </c>
      <c r="AD56" s="64">
        <v>2425</v>
      </c>
      <c r="AE56" s="64">
        <v>0</v>
      </c>
      <c r="AF56" s="64">
        <v>0</v>
      </c>
      <c r="AG56" s="64">
        <f t="shared" si="34"/>
        <v>6339</v>
      </c>
      <c r="AH56" s="211">
        <f t="shared" si="35"/>
        <v>1056.5</v>
      </c>
      <c r="AI56" s="755">
        <v>2909</v>
      </c>
      <c r="AJ56" s="345">
        <v>0</v>
      </c>
      <c r="AK56" s="345">
        <v>0</v>
      </c>
      <c r="AL56" s="345">
        <v>0</v>
      </c>
      <c r="AM56" s="345">
        <v>2164</v>
      </c>
      <c r="AN56" s="345">
        <v>110</v>
      </c>
      <c r="AO56" s="808">
        <f t="shared" si="36"/>
        <v>5183</v>
      </c>
      <c r="AP56" s="809">
        <f t="shared" si="37"/>
        <v>863.83333333333337</v>
      </c>
      <c r="AQ56" s="814">
        <v>1888</v>
      </c>
      <c r="AR56" s="815">
        <v>5021</v>
      </c>
      <c r="AS56" s="815">
        <v>0</v>
      </c>
      <c r="AT56" s="815">
        <v>110</v>
      </c>
      <c r="AU56" s="815">
        <v>0</v>
      </c>
      <c r="AV56" s="815">
        <v>1026</v>
      </c>
      <c r="AW56" s="808">
        <f t="shared" si="38"/>
        <v>8045</v>
      </c>
      <c r="AX56" s="211">
        <f t="shared" si="39"/>
        <v>1340.8333333333333</v>
      </c>
      <c r="AY56" s="346">
        <v>0</v>
      </c>
      <c r="AZ56" s="343">
        <v>1650</v>
      </c>
      <c r="BA56" s="343">
        <v>1187</v>
      </c>
      <c r="BB56" s="343">
        <v>440</v>
      </c>
      <c r="BC56" s="343">
        <v>1775</v>
      </c>
      <c r="BD56" s="343">
        <v>3906</v>
      </c>
      <c r="BE56" s="808">
        <f t="shared" si="40"/>
        <v>8958</v>
      </c>
      <c r="BF56" s="211">
        <f t="shared" si="41"/>
        <v>1493</v>
      </c>
      <c r="BG56" s="814">
        <v>440</v>
      </c>
      <c r="BH56" s="815">
        <v>2501</v>
      </c>
      <c r="BI56" s="815">
        <v>0</v>
      </c>
      <c r="BJ56" s="815">
        <v>2815</v>
      </c>
      <c r="BK56" s="815">
        <v>3886</v>
      </c>
      <c r="BL56" s="815">
        <v>0</v>
      </c>
      <c r="BM56" s="808">
        <f t="shared" si="42"/>
        <v>9642</v>
      </c>
      <c r="BN56" s="211">
        <f t="shared" si="43"/>
        <v>1607</v>
      </c>
      <c r="BO56" s="755">
        <v>0</v>
      </c>
      <c r="BP56" s="345">
        <v>1392</v>
      </c>
      <c r="BQ56" s="345">
        <v>0</v>
      </c>
      <c r="BR56" s="345">
        <v>310</v>
      </c>
      <c r="BS56" s="345">
        <v>2743</v>
      </c>
      <c r="BT56" s="345">
        <v>0</v>
      </c>
      <c r="BU56" s="808">
        <f t="shared" si="44"/>
        <v>4445</v>
      </c>
      <c r="BV56" s="211">
        <f t="shared" si="45"/>
        <v>740.83333333333337</v>
      </c>
      <c r="BW56" s="755">
        <v>0</v>
      </c>
      <c r="BX56" s="345">
        <v>882</v>
      </c>
      <c r="BY56" s="345">
        <v>3520</v>
      </c>
      <c r="BZ56" s="345">
        <v>783</v>
      </c>
      <c r="CA56" s="345">
        <v>1082</v>
      </c>
      <c r="CB56" s="345">
        <v>0</v>
      </c>
      <c r="CC56" s="808">
        <f t="shared" si="46"/>
        <v>6267</v>
      </c>
      <c r="CD56" s="211">
        <f t="shared" si="47"/>
        <v>1044.5</v>
      </c>
      <c r="CE56" s="346">
        <v>616</v>
      </c>
      <c r="CF56" s="343">
        <v>0</v>
      </c>
      <c r="CG56" s="343">
        <v>2175</v>
      </c>
      <c r="CH56" s="343">
        <v>2386</v>
      </c>
      <c r="CI56" s="343">
        <v>2351</v>
      </c>
      <c r="CJ56" s="343">
        <v>220</v>
      </c>
      <c r="CK56" s="808">
        <f t="shared" si="48"/>
        <v>7748</v>
      </c>
      <c r="CL56" s="211">
        <f t="shared" si="49"/>
        <v>1291.3333333333333</v>
      </c>
      <c r="CM56" s="346">
        <v>6549</v>
      </c>
      <c r="CN56" s="343">
        <v>841</v>
      </c>
      <c r="CO56" s="343">
        <v>0</v>
      </c>
      <c r="CP56" s="343">
        <v>0</v>
      </c>
      <c r="CQ56" s="343">
        <v>1863</v>
      </c>
      <c r="CR56" s="343">
        <v>1515</v>
      </c>
      <c r="CS56" s="808">
        <f t="shared" si="50"/>
        <v>10768</v>
      </c>
      <c r="CT56" s="211">
        <f t="shared" si="51"/>
        <v>1794.6666666666667</v>
      </c>
      <c r="CU56" s="346">
        <v>0</v>
      </c>
      <c r="CV56" s="343">
        <v>0</v>
      </c>
      <c r="CW56" s="343">
        <v>1022</v>
      </c>
      <c r="CX56" s="343">
        <v>0</v>
      </c>
      <c r="CY56" s="343">
        <v>0</v>
      </c>
      <c r="CZ56" s="343">
        <v>1187</v>
      </c>
      <c r="DA56" s="808">
        <f t="shared" si="52"/>
        <v>2209</v>
      </c>
      <c r="DB56" s="211">
        <f t="shared" si="53"/>
        <v>368.16666666666669</v>
      </c>
      <c r="DC56" s="346">
        <v>1540</v>
      </c>
      <c r="DD56" s="343">
        <v>1269</v>
      </c>
      <c r="DE56" s="343">
        <v>4992</v>
      </c>
      <c r="DF56" s="343">
        <v>1584</v>
      </c>
      <c r="DG56" s="343"/>
      <c r="DH56" s="343">
        <v>2974</v>
      </c>
      <c r="DI56" s="808">
        <f t="shared" si="54"/>
        <v>12359</v>
      </c>
      <c r="DJ56" s="211">
        <f t="shared" si="55"/>
        <v>2059.8333333333335</v>
      </c>
      <c r="DK56" s="346">
        <v>2152</v>
      </c>
      <c r="DL56" s="343">
        <v>0</v>
      </c>
      <c r="DM56" s="343">
        <v>0</v>
      </c>
      <c r="DN56" s="343">
        <v>439</v>
      </c>
      <c r="DO56" s="343">
        <v>2037</v>
      </c>
      <c r="DP56" s="343">
        <v>0</v>
      </c>
      <c r="DQ56" s="808">
        <f t="shared" si="56"/>
        <v>4628</v>
      </c>
      <c r="DR56" s="211">
        <f t="shared" si="57"/>
        <v>771.33333333333337</v>
      </c>
      <c r="DS56" s="346">
        <v>0</v>
      </c>
      <c r="DT56" s="343">
        <v>1870</v>
      </c>
      <c r="DU56" s="343">
        <v>82</v>
      </c>
      <c r="DV56" s="343">
        <v>1764</v>
      </c>
      <c r="DW56" s="343">
        <v>1927</v>
      </c>
      <c r="DX56" s="343">
        <v>1495</v>
      </c>
      <c r="DY56" s="808">
        <f t="shared" si="58"/>
        <v>7138</v>
      </c>
      <c r="DZ56" s="211">
        <f t="shared" si="59"/>
        <v>1189.6666666666667</v>
      </c>
      <c r="EA56" s="346">
        <v>334</v>
      </c>
      <c r="EB56" s="343">
        <v>0</v>
      </c>
      <c r="EC56" s="343"/>
      <c r="ED56" s="343">
        <v>1634</v>
      </c>
      <c r="EE56" s="343">
        <v>961</v>
      </c>
      <c r="EF56" s="343">
        <v>2164</v>
      </c>
      <c r="EG56" s="808">
        <f t="shared" si="60"/>
        <v>5093</v>
      </c>
      <c r="EH56" s="211">
        <f t="shared" si="61"/>
        <v>848.83333333333337</v>
      </c>
      <c r="EI56" s="346">
        <v>371</v>
      </c>
      <c r="EJ56" s="343">
        <v>5031</v>
      </c>
      <c r="EK56" s="343">
        <v>3646</v>
      </c>
      <c r="EL56" s="343">
        <v>33</v>
      </c>
      <c r="EM56" s="343">
        <v>1306</v>
      </c>
      <c r="EN56" s="343">
        <v>0</v>
      </c>
      <c r="EO56" s="808">
        <f t="shared" si="62"/>
        <v>10387</v>
      </c>
      <c r="EP56" s="211">
        <f t="shared" si="63"/>
        <v>1731.1666666666667</v>
      </c>
      <c r="EQ56" s="346">
        <v>147</v>
      </c>
      <c r="ER56" s="343">
        <v>4652</v>
      </c>
      <c r="ES56" s="343">
        <v>0</v>
      </c>
      <c r="ET56" s="343">
        <v>0</v>
      </c>
      <c r="EU56" s="343">
        <v>1670</v>
      </c>
      <c r="EV56" s="343">
        <v>8796</v>
      </c>
      <c r="EW56" s="808">
        <f t="shared" si="64"/>
        <v>15265</v>
      </c>
      <c r="EX56" s="211">
        <f t="shared" si="65"/>
        <v>2544.1666666666665</v>
      </c>
      <c r="EY56" s="346">
        <v>2120</v>
      </c>
      <c r="EZ56" s="343">
        <v>0</v>
      </c>
      <c r="FA56" s="343">
        <v>0</v>
      </c>
      <c r="FB56" s="343">
        <v>0</v>
      </c>
      <c r="FC56" s="343">
        <v>3021</v>
      </c>
      <c r="FD56" s="343">
        <v>2428</v>
      </c>
      <c r="FE56" s="808">
        <f t="shared" si="66"/>
        <v>7569</v>
      </c>
      <c r="FF56" s="211">
        <f t="shared" si="67"/>
        <v>1261.5</v>
      </c>
      <c r="FG56" s="755">
        <v>530</v>
      </c>
      <c r="FH56" s="345">
        <v>1692</v>
      </c>
      <c r="FI56" s="345">
        <v>1779</v>
      </c>
      <c r="FJ56" s="345">
        <v>6211</v>
      </c>
      <c r="FK56" s="345">
        <v>1760</v>
      </c>
      <c r="FL56" s="345">
        <v>1115</v>
      </c>
      <c r="FM56" s="808">
        <f t="shared" si="68"/>
        <v>13087</v>
      </c>
      <c r="FN56" s="211">
        <f t="shared" si="69"/>
        <v>2181.1666666666665</v>
      </c>
      <c r="FO56" s="346">
        <v>2905</v>
      </c>
      <c r="FP56" s="343">
        <v>0</v>
      </c>
      <c r="FQ56" s="343">
        <v>5302</v>
      </c>
      <c r="FR56" s="343">
        <v>2113</v>
      </c>
      <c r="FS56" s="343">
        <v>203</v>
      </c>
      <c r="FT56" s="343">
        <v>2465</v>
      </c>
      <c r="FU56" s="808">
        <f t="shared" si="70"/>
        <v>12988</v>
      </c>
      <c r="FV56" s="211">
        <f t="shared" si="71"/>
        <v>2164.6666666666665</v>
      </c>
      <c r="FW56" s="346">
        <v>2348</v>
      </c>
      <c r="FX56" s="343">
        <v>1540</v>
      </c>
      <c r="FY56" s="343">
        <v>3509</v>
      </c>
      <c r="FZ56" s="343">
        <v>0</v>
      </c>
      <c r="GA56" s="343">
        <v>759</v>
      </c>
      <c r="GB56" s="343">
        <v>3158</v>
      </c>
      <c r="GC56" s="808">
        <f t="shared" si="72"/>
        <v>11314</v>
      </c>
      <c r="GD56" s="211">
        <f t="shared" si="73"/>
        <v>1885.6666666666667</v>
      </c>
      <c r="GE56" s="346">
        <v>0</v>
      </c>
      <c r="GF56" s="343">
        <v>0</v>
      </c>
      <c r="GG56" s="343">
        <v>650</v>
      </c>
      <c r="GH56" s="343">
        <v>156</v>
      </c>
      <c r="GI56" s="343">
        <v>4980</v>
      </c>
      <c r="GJ56" s="343">
        <v>1210</v>
      </c>
      <c r="GK56" s="808">
        <f t="shared" si="74"/>
        <v>6996</v>
      </c>
      <c r="GL56" s="211">
        <f t="shared" si="75"/>
        <v>1166</v>
      </c>
      <c r="GM56" s="755">
        <v>1054</v>
      </c>
      <c r="GN56" s="345">
        <v>0</v>
      </c>
      <c r="GO56" s="345">
        <v>1029</v>
      </c>
      <c r="GP56" s="345">
        <v>0</v>
      </c>
      <c r="GQ56" s="345">
        <v>2318</v>
      </c>
      <c r="GR56" s="345">
        <v>0</v>
      </c>
      <c r="GS56" s="872">
        <f t="shared" si="76"/>
        <v>4401</v>
      </c>
      <c r="GT56" s="873">
        <f t="shared" si="77"/>
        <v>733.5</v>
      </c>
      <c r="GU56" s="346">
        <v>0</v>
      </c>
      <c r="GV56" s="343">
        <v>2025</v>
      </c>
      <c r="GW56" s="343">
        <v>979</v>
      </c>
      <c r="GX56" s="343">
        <v>1645</v>
      </c>
      <c r="GY56" s="343">
        <v>2420</v>
      </c>
      <c r="GZ56" s="343">
        <v>1472</v>
      </c>
      <c r="HA56" s="872">
        <f t="shared" si="78"/>
        <v>8541</v>
      </c>
      <c r="HB56" s="873">
        <f t="shared" si="79"/>
        <v>1423.5</v>
      </c>
      <c r="HC56" s="346">
        <v>0</v>
      </c>
      <c r="HD56" s="343">
        <v>0</v>
      </c>
      <c r="HE56" s="343">
        <v>1961</v>
      </c>
      <c r="HF56" s="343">
        <v>722</v>
      </c>
      <c r="HG56" s="343">
        <v>0</v>
      </c>
      <c r="HH56" s="343">
        <v>295</v>
      </c>
      <c r="HI56" s="872">
        <f t="shared" si="80"/>
        <v>2978</v>
      </c>
      <c r="HJ56" s="873">
        <f t="shared" si="81"/>
        <v>496.33333333333331</v>
      </c>
      <c r="HK56" s="346">
        <v>791</v>
      </c>
      <c r="HL56" s="343">
        <v>4759</v>
      </c>
      <c r="HM56" s="343">
        <v>1878</v>
      </c>
      <c r="HN56" s="343">
        <v>104</v>
      </c>
      <c r="HO56" s="343">
        <v>1187</v>
      </c>
      <c r="HP56" s="343">
        <v>0</v>
      </c>
      <c r="HQ56" s="872">
        <f t="shared" si="82"/>
        <v>8719</v>
      </c>
      <c r="HR56" s="873">
        <f t="shared" si="83"/>
        <v>1453.1666666666667</v>
      </c>
      <c r="HS56" s="346">
        <v>1398</v>
      </c>
      <c r="HT56" s="343">
        <v>2770</v>
      </c>
      <c r="HU56" s="343"/>
      <c r="HV56" s="343"/>
      <c r="HW56" s="343"/>
      <c r="HX56" s="343"/>
      <c r="HY56" s="872">
        <f t="shared" si="84"/>
        <v>4168</v>
      </c>
      <c r="HZ56" s="873">
        <f t="shared" si="85"/>
        <v>694.66666666666663</v>
      </c>
    </row>
    <row r="57" spans="1:234" s="323" customFormat="1" ht="15" customHeight="1" x14ac:dyDescent="0.2">
      <c r="A57" s="21">
        <v>46</v>
      </c>
      <c r="B57" s="21" t="s">
        <v>176</v>
      </c>
      <c r="C57" s="275" t="s">
        <v>179</v>
      </c>
      <c r="D57" s="21">
        <v>25</v>
      </c>
      <c r="E57" s="24"/>
      <c r="F57" s="24">
        <v>6410</v>
      </c>
      <c r="G57" s="24"/>
      <c r="H57" s="24"/>
      <c r="I57" s="24"/>
      <c r="J57" s="360">
        <f>SUMIF(SUMPK!$B:$B,$B:$B,SUMPK!$O:$O)</f>
        <v>0</v>
      </c>
      <c r="K57" s="24"/>
      <c r="L57" s="24">
        <f t="shared" si="86"/>
        <v>6410</v>
      </c>
      <c r="M57" s="15">
        <f t="shared" si="27"/>
        <v>6410</v>
      </c>
      <c r="N57" s="15">
        <v>160</v>
      </c>
      <c r="O57" s="276">
        <f t="shared" si="28"/>
        <v>40.0625</v>
      </c>
      <c r="P57" s="15">
        <v>220.5</v>
      </c>
      <c r="Q57" s="711">
        <f t="shared" si="29"/>
        <v>2400</v>
      </c>
      <c r="R57" s="276">
        <f t="shared" si="30"/>
        <v>174.42176870748298</v>
      </c>
      <c r="S57" s="712">
        <f t="shared" si="31"/>
        <v>553.84615384615381</v>
      </c>
      <c r="T57" s="713">
        <v>14400</v>
      </c>
      <c r="U57" s="276">
        <f t="shared" si="92"/>
        <v>11.573611111111111</v>
      </c>
      <c r="V57" s="278"/>
      <c r="W57" s="276">
        <f t="shared" si="33"/>
        <v>11.573611111111111</v>
      </c>
      <c r="X57" s="823">
        <f t="shared" si="0"/>
        <v>1</v>
      </c>
      <c r="Y57" s="305">
        <v>16</v>
      </c>
      <c r="Z57" s="824"/>
      <c r="AA57" s="244">
        <v>0</v>
      </c>
      <c r="AB57" s="64">
        <v>0</v>
      </c>
      <c r="AC57" s="64">
        <v>0</v>
      </c>
      <c r="AD57" s="64">
        <v>0</v>
      </c>
      <c r="AE57" s="64">
        <v>1511</v>
      </c>
      <c r="AF57" s="64">
        <v>417</v>
      </c>
      <c r="AG57" s="64">
        <f t="shared" si="34"/>
        <v>1928</v>
      </c>
      <c r="AH57" s="211">
        <f t="shared" si="35"/>
        <v>321.33333333333331</v>
      </c>
      <c r="AI57" s="75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2662</v>
      </c>
      <c r="AO57" s="808">
        <f t="shared" si="36"/>
        <v>2662</v>
      </c>
      <c r="AP57" s="809">
        <f t="shared" si="37"/>
        <v>443.66666666666669</v>
      </c>
      <c r="AQ57" s="814">
        <v>0</v>
      </c>
      <c r="AR57" s="815">
        <v>0</v>
      </c>
      <c r="AS57" s="815">
        <v>0</v>
      </c>
      <c r="AT57" s="815">
        <v>0</v>
      </c>
      <c r="AU57" s="815">
        <v>0</v>
      </c>
      <c r="AV57" s="815">
        <v>1995</v>
      </c>
      <c r="AW57" s="808">
        <f t="shared" si="38"/>
        <v>1995</v>
      </c>
      <c r="AX57" s="211">
        <f t="shared" si="39"/>
        <v>332.5</v>
      </c>
      <c r="AY57" s="346">
        <v>0</v>
      </c>
      <c r="AZ57" s="343">
        <v>0</v>
      </c>
      <c r="BA57" s="343">
        <v>0</v>
      </c>
      <c r="BB57" s="343">
        <v>0</v>
      </c>
      <c r="BC57" s="343">
        <v>0</v>
      </c>
      <c r="BD57" s="343">
        <v>0</v>
      </c>
      <c r="BE57" s="808">
        <f t="shared" si="40"/>
        <v>0</v>
      </c>
      <c r="BF57" s="211">
        <f t="shared" si="41"/>
        <v>0</v>
      </c>
      <c r="BG57" s="814">
        <v>0</v>
      </c>
      <c r="BH57" s="815">
        <v>0</v>
      </c>
      <c r="BI57" s="815">
        <v>1631</v>
      </c>
      <c r="BJ57" s="815">
        <v>0</v>
      </c>
      <c r="BK57" s="815">
        <v>0</v>
      </c>
      <c r="BL57" s="815">
        <v>1985</v>
      </c>
      <c r="BM57" s="808">
        <f t="shared" si="42"/>
        <v>3616</v>
      </c>
      <c r="BN57" s="211">
        <f t="shared" si="43"/>
        <v>602.66666666666663</v>
      </c>
      <c r="BO57" s="75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808">
        <f t="shared" si="44"/>
        <v>0</v>
      </c>
      <c r="BV57" s="211">
        <f t="shared" si="45"/>
        <v>0</v>
      </c>
      <c r="BW57" s="755">
        <v>0</v>
      </c>
      <c r="BX57" s="345">
        <v>1971</v>
      </c>
      <c r="BY57" s="345">
        <v>0</v>
      </c>
      <c r="BZ57" s="345">
        <v>0</v>
      </c>
      <c r="CA57" s="345">
        <v>0</v>
      </c>
      <c r="CB57" s="345">
        <v>0</v>
      </c>
      <c r="CC57" s="808">
        <f t="shared" si="46"/>
        <v>1971</v>
      </c>
      <c r="CD57" s="211">
        <f t="shared" si="47"/>
        <v>328.5</v>
      </c>
      <c r="CE57" s="346">
        <v>1655</v>
      </c>
      <c r="CF57" s="343">
        <v>0</v>
      </c>
      <c r="CG57" s="343">
        <v>0</v>
      </c>
      <c r="CH57" s="343">
        <v>0</v>
      </c>
      <c r="CI57" s="343">
        <v>0</v>
      </c>
      <c r="CJ57" s="343">
        <v>0</v>
      </c>
      <c r="CK57" s="808">
        <f t="shared" si="48"/>
        <v>1655</v>
      </c>
      <c r="CL57" s="211">
        <f t="shared" si="49"/>
        <v>275.83333333333331</v>
      </c>
      <c r="CM57" s="346">
        <v>1292</v>
      </c>
      <c r="CN57" s="343">
        <v>0</v>
      </c>
      <c r="CO57" s="343">
        <v>0</v>
      </c>
      <c r="CP57" s="343">
        <v>962</v>
      </c>
      <c r="CQ57" s="343">
        <v>1929</v>
      </c>
      <c r="CR57" s="343">
        <v>0</v>
      </c>
      <c r="CS57" s="808">
        <f t="shared" si="50"/>
        <v>4183</v>
      </c>
      <c r="CT57" s="211">
        <f t="shared" si="51"/>
        <v>697.16666666666663</v>
      </c>
      <c r="CU57" s="346">
        <v>0</v>
      </c>
      <c r="CV57" s="343">
        <v>0</v>
      </c>
      <c r="CW57" s="343">
        <v>0</v>
      </c>
      <c r="CX57" s="343">
        <v>0</v>
      </c>
      <c r="CY57" s="343">
        <v>0</v>
      </c>
      <c r="CZ57" s="343">
        <v>0</v>
      </c>
      <c r="DA57" s="808">
        <f t="shared" si="52"/>
        <v>0</v>
      </c>
      <c r="DB57" s="211">
        <f t="shared" si="53"/>
        <v>0</v>
      </c>
      <c r="DC57" s="346">
        <v>0</v>
      </c>
      <c r="DD57" s="343">
        <v>0</v>
      </c>
      <c r="DE57" s="343">
        <v>1664</v>
      </c>
      <c r="DF57" s="343">
        <v>0</v>
      </c>
      <c r="DG57" s="343"/>
      <c r="DH57" s="343">
        <v>0</v>
      </c>
      <c r="DI57" s="808">
        <f t="shared" si="54"/>
        <v>1664</v>
      </c>
      <c r="DJ57" s="211">
        <f t="shared" si="55"/>
        <v>277.33333333333331</v>
      </c>
      <c r="DK57" s="346">
        <v>0</v>
      </c>
      <c r="DL57" s="343">
        <v>1979</v>
      </c>
      <c r="DM57" s="343">
        <v>0</v>
      </c>
      <c r="DN57" s="343">
        <v>0</v>
      </c>
      <c r="DO57" s="343">
        <v>0</v>
      </c>
      <c r="DP57" s="343">
        <v>0</v>
      </c>
      <c r="DQ57" s="808">
        <f t="shared" si="56"/>
        <v>1979</v>
      </c>
      <c r="DR57" s="211">
        <f t="shared" si="57"/>
        <v>329.83333333333331</v>
      </c>
      <c r="DS57" s="346">
        <v>0</v>
      </c>
      <c r="DT57" s="343">
        <v>0</v>
      </c>
      <c r="DU57" s="343">
        <v>0</v>
      </c>
      <c r="DV57" s="343">
        <v>770</v>
      </c>
      <c r="DW57" s="343">
        <v>221</v>
      </c>
      <c r="DX57" s="343">
        <v>0</v>
      </c>
      <c r="DY57" s="808">
        <f t="shared" si="58"/>
        <v>991</v>
      </c>
      <c r="DZ57" s="211">
        <f t="shared" si="59"/>
        <v>165.16666666666666</v>
      </c>
      <c r="EA57" s="346">
        <v>0</v>
      </c>
      <c r="EB57" s="343">
        <v>0</v>
      </c>
      <c r="EC57" s="343"/>
      <c r="ED57" s="343">
        <v>0</v>
      </c>
      <c r="EE57" s="343">
        <v>2307</v>
      </c>
      <c r="EF57" s="343">
        <v>0</v>
      </c>
      <c r="EG57" s="808">
        <f t="shared" si="60"/>
        <v>2307</v>
      </c>
      <c r="EH57" s="211">
        <f t="shared" si="61"/>
        <v>384.5</v>
      </c>
      <c r="EI57" s="346">
        <v>0</v>
      </c>
      <c r="EJ57" s="343">
        <v>0</v>
      </c>
      <c r="EK57" s="343">
        <v>0</v>
      </c>
      <c r="EL57" s="343">
        <v>0</v>
      </c>
      <c r="EM57" s="343">
        <v>1670</v>
      </c>
      <c r="EN57" s="343">
        <v>0</v>
      </c>
      <c r="EO57" s="808">
        <f t="shared" si="62"/>
        <v>1670</v>
      </c>
      <c r="EP57" s="211">
        <f t="shared" si="63"/>
        <v>278.33333333333331</v>
      </c>
      <c r="EQ57" s="346">
        <v>0</v>
      </c>
      <c r="ER57" s="343">
        <v>0</v>
      </c>
      <c r="ES57" s="343">
        <v>0</v>
      </c>
      <c r="ET57" s="343">
        <v>0</v>
      </c>
      <c r="EU57" s="343">
        <v>954</v>
      </c>
      <c r="EV57" s="343">
        <v>0</v>
      </c>
      <c r="EW57" s="808">
        <f t="shared" si="64"/>
        <v>954</v>
      </c>
      <c r="EX57" s="211">
        <f t="shared" si="65"/>
        <v>159</v>
      </c>
      <c r="EY57" s="346">
        <v>0</v>
      </c>
      <c r="EZ57" s="343">
        <v>1995</v>
      </c>
      <c r="FA57" s="343">
        <v>0</v>
      </c>
      <c r="FB57" s="343">
        <v>0</v>
      </c>
      <c r="FC57" s="343">
        <v>0</v>
      </c>
      <c r="FD57" s="343">
        <v>0</v>
      </c>
      <c r="FE57" s="808">
        <f t="shared" si="66"/>
        <v>1995</v>
      </c>
      <c r="FF57" s="211">
        <f t="shared" si="67"/>
        <v>332.5</v>
      </c>
      <c r="FG57" s="755">
        <v>0</v>
      </c>
      <c r="FH57" s="345">
        <v>0</v>
      </c>
      <c r="FI57" s="345">
        <v>1648</v>
      </c>
      <c r="FJ57" s="345">
        <v>0</v>
      </c>
      <c r="FK57" s="345">
        <v>0</v>
      </c>
      <c r="FL57" s="345">
        <v>0</v>
      </c>
      <c r="FM57" s="808">
        <f t="shared" si="68"/>
        <v>1648</v>
      </c>
      <c r="FN57" s="211">
        <f t="shared" si="69"/>
        <v>274.66666666666669</v>
      </c>
      <c r="FO57" s="346">
        <v>0</v>
      </c>
      <c r="FP57" s="343">
        <v>1652</v>
      </c>
      <c r="FQ57" s="343">
        <v>0</v>
      </c>
      <c r="FR57" s="343">
        <v>0</v>
      </c>
      <c r="FS57" s="343">
        <v>0</v>
      </c>
      <c r="FT57" s="343">
        <v>0</v>
      </c>
      <c r="FU57" s="808">
        <f t="shared" si="70"/>
        <v>1652</v>
      </c>
      <c r="FV57" s="211">
        <f t="shared" si="71"/>
        <v>275.33333333333331</v>
      </c>
      <c r="FW57" s="346">
        <v>0</v>
      </c>
      <c r="FX57" s="343">
        <v>0</v>
      </c>
      <c r="FY57" s="343">
        <v>0</v>
      </c>
      <c r="FZ57" s="343">
        <v>0</v>
      </c>
      <c r="GA57" s="343">
        <v>0</v>
      </c>
      <c r="GB57" s="343">
        <v>1619</v>
      </c>
      <c r="GC57" s="808">
        <f t="shared" si="72"/>
        <v>1619</v>
      </c>
      <c r="GD57" s="211">
        <f t="shared" si="73"/>
        <v>269.83333333333331</v>
      </c>
      <c r="GE57" s="346">
        <v>0</v>
      </c>
      <c r="GF57" s="343">
        <v>0</v>
      </c>
      <c r="GG57" s="343">
        <v>0</v>
      </c>
      <c r="GH57" s="343">
        <v>0</v>
      </c>
      <c r="GI57" s="343">
        <v>0</v>
      </c>
      <c r="GJ57" s="343">
        <v>963</v>
      </c>
      <c r="GK57" s="808">
        <f t="shared" si="74"/>
        <v>963</v>
      </c>
      <c r="GL57" s="211">
        <f t="shared" si="75"/>
        <v>160.5</v>
      </c>
      <c r="GM57" s="755">
        <v>0</v>
      </c>
      <c r="GN57" s="345">
        <v>0</v>
      </c>
      <c r="GO57" s="345">
        <v>0</v>
      </c>
      <c r="GP57" s="345">
        <v>948</v>
      </c>
      <c r="GQ57" s="345">
        <v>0</v>
      </c>
      <c r="GR57" s="345">
        <v>0</v>
      </c>
      <c r="GS57" s="872">
        <f t="shared" si="76"/>
        <v>948</v>
      </c>
      <c r="GT57" s="873">
        <f t="shared" si="77"/>
        <v>158</v>
      </c>
      <c r="GU57" s="346">
        <v>0</v>
      </c>
      <c r="GV57" s="343">
        <v>0</v>
      </c>
      <c r="GW57" s="343">
        <v>1290</v>
      </c>
      <c r="GX57" s="343">
        <v>0</v>
      </c>
      <c r="GY57" s="343">
        <v>0</v>
      </c>
      <c r="GZ57" s="343">
        <v>0</v>
      </c>
      <c r="HA57" s="872">
        <f t="shared" si="78"/>
        <v>1290</v>
      </c>
      <c r="HB57" s="873">
        <f t="shared" si="79"/>
        <v>215</v>
      </c>
      <c r="HC57" s="346">
        <v>0</v>
      </c>
      <c r="HD57" s="343">
        <v>0</v>
      </c>
      <c r="HE57" s="343">
        <v>679</v>
      </c>
      <c r="HF57" s="343">
        <v>0</v>
      </c>
      <c r="HG57" s="343">
        <v>1647</v>
      </c>
      <c r="HH57" s="343">
        <v>0</v>
      </c>
      <c r="HI57" s="872">
        <f t="shared" si="80"/>
        <v>2326</v>
      </c>
      <c r="HJ57" s="873">
        <f t="shared" si="81"/>
        <v>387.66666666666669</v>
      </c>
      <c r="HK57" s="346">
        <v>0</v>
      </c>
      <c r="HL57" s="343">
        <v>0</v>
      </c>
      <c r="HM57" s="343">
        <v>960</v>
      </c>
      <c r="HN57" s="343">
        <v>0</v>
      </c>
      <c r="HO57" s="343">
        <v>0</v>
      </c>
      <c r="HP57" s="343">
        <v>0</v>
      </c>
      <c r="HQ57" s="872">
        <f t="shared" si="82"/>
        <v>960</v>
      </c>
      <c r="HR57" s="873">
        <f t="shared" si="83"/>
        <v>160</v>
      </c>
      <c r="HS57" s="346">
        <v>0</v>
      </c>
      <c r="HT57" s="343">
        <v>0</v>
      </c>
      <c r="HU57" s="343"/>
      <c r="HV57" s="343"/>
      <c r="HW57" s="343"/>
      <c r="HX57" s="343"/>
      <c r="HY57" s="872">
        <f t="shared" si="84"/>
        <v>0</v>
      </c>
      <c r="HZ57" s="873">
        <f t="shared" si="85"/>
        <v>0</v>
      </c>
    </row>
    <row r="58" spans="1:234" s="323" customFormat="1" ht="15" customHeight="1" x14ac:dyDescent="0.2">
      <c r="A58" s="21">
        <v>47</v>
      </c>
      <c r="B58" s="21" t="s">
        <v>93</v>
      </c>
      <c r="C58" s="275" t="s">
        <v>94</v>
      </c>
      <c r="D58" s="21">
        <v>25</v>
      </c>
      <c r="E58" s="24"/>
      <c r="F58" s="24">
        <v>6490</v>
      </c>
      <c r="G58" s="24"/>
      <c r="H58" s="24"/>
      <c r="I58" s="360"/>
      <c r="J58" s="360">
        <f>SUMIF(SUMPK!$B:$B,$B:$B,SUMPK!$O:$O)</f>
        <v>0</v>
      </c>
      <c r="K58" s="24"/>
      <c r="L58" s="24">
        <f t="shared" si="86"/>
        <v>6490</v>
      </c>
      <c r="M58" s="15">
        <f t="shared" si="27"/>
        <v>6490</v>
      </c>
      <c r="N58" s="15">
        <v>317.5</v>
      </c>
      <c r="O58" s="276">
        <f t="shared" si="28"/>
        <v>20.440944881889763</v>
      </c>
      <c r="P58" s="15">
        <v>319.16666666666669</v>
      </c>
      <c r="Q58" s="711">
        <f t="shared" si="29"/>
        <v>1333.3333333333333</v>
      </c>
      <c r="R58" s="276">
        <f t="shared" si="30"/>
        <v>122.00522193211486</v>
      </c>
      <c r="S58" s="712">
        <f t="shared" si="31"/>
        <v>307.69230769230768</v>
      </c>
      <c r="T58" s="713">
        <v>8000</v>
      </c>
      <c r="U58" s="276">
        <f t="shared" si="92"/>
        <v>21.092500000000001</v>
      </c>
      <c r="V58" s="278"/>
      <c r="W58" s="276">
        <f t="shared" si="33"/>
        <v>21.092500000000001</v>
      </c>
      <c r="X58" s="823">
        <f t="shared" si="0"/>
        <v>1</v>
      </c>
      <c r="Y58" s="305">
        <v>18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249</v>
      </c>
      <c r="AF58" s="64">
        <v>334</v>
      </c>
      <c r="AG58" s="64">
        <f t="shared" si="34"/>
        <v>583</v>
      </c>
      <c r="AH58" s="211">
        <f t="shared" si="35"/>
        <v>97.166666666666671</v>
      </c>
      <c r="AI58" s="755">
        <v>1245</v>
      </c>
      <c r="AJ58" s="345">
        <v>0</v>
      </c>
      <c r="AK58" s="345">
        <v>0</v>
      </c>
      <c r="AL58" s="345">
        <v>877</v>
      </c>
      <c r="AM58" s="345">
        <v>0</v>
      </c>
      <c r="AN58" s="345">
        <v>854</v>
      </c>
      <c r="AO58" s="808">
        <f t="shared" si="36"/>
        <v>2976</v>
      </c>
      <c r="AP58" s="809">
        <f t="shared" si="37"/>
        <v>496</v>
      </c>
      <c r="AQ58" s="814">
        <v>1224</v>
      </c>
      <c r="AR58" s="815">
        <v>0</v>
      </c>
      <c r="AS58" s="815">
        <v>0</v>
      </c>
      <c r="AT58" s="815">
        <v>564</v>
      </c>
      <c r="AU58" s="815">
        <v>1671</v>
      </c>
      <c r="AV58" s="815">
        <v>1543</v>
      </c>
      <c r="AW58" s="808">
        <f t="shared" si="38"/>
        <v>5002</v>
      </c>
      <c r="AX58" s="211">
        <f t="shared" si="39"/>
        <v>833.66666666666663</v>
      </c>
      <c r="AY58" s="346">
        <v>0</v>
      </c>
      <c r="AZ58" s="343">
        <v>0</v>
      </c>
      <c r="BA58" s="343">
        <v>879</v>
      </c>
      <c r="BB58" s="343">
        <v>165</v>
      </c>
      <c r="BC58" s="343">
        <v>0</v>
      </c>
      <c r="BD58" s="343">
        <v>0</v>
      </c>
      <c r="BE58" s="808">
        <f t="shared" si="40"/>
        <v>1044</v>
      </c>
      <c r="BF58" s="211">
        <f t="shared" si="41"/>
        <v>174</v>
      </c>
      <c r="BG58" s="814">
        <v>487</v>
      </c>
      <c r="BH58" s="815">
        <v>770</v>
      </c>
      <c r="BI58" s="815">
        <v>1269</v>
      </c>
      <c r="BJ58" s="815">
        <v>259</v>
      </c>
      <c r="BK58" s="815">
        <v>0</v>
      </c>
      <c r="BL58" s="815">
        <v>1679</v>
      </c>
      <c r="BM58" s="808">
        <f t="shared" si="42"/>
        <v>4464</v>
      </c>
      <c r="BN58" s="211">
        <f t="shared" si="43"/>
        <v>744</v>
      </c>
      <c r="BO58" s="755">
        <v>0</v>
      </c>
      <c r="BP58" s="345">
        <v>439</v>
      </c>
      <c r="BQ58" s="345">
        <v>273</v>
      </c>
      <c r="BR58" s="345">
        <v>0</v>
      </c>
      <c r="BS58" s="345">
        <v>1370</v>
      </c>
      <c r="BT58" s="345">
        <v>572</v>
      </c>
      <c r="BU58" s="808">
        <f t="shared" si="44"/>
        <v>2654</v>
      </c>
      <c r="BV58" s="211">
        <f t="shared" si="45"/>
        <v>442.33333333333331</v>
      </c>
      <c r="BW58" s="755">
        <v>132</v>
      </c>
      <c r="BX58" s="345">
        <v>0</v>
      </c>
      <c r="BY58" s="345">
        <v>0</v>
      </c>
      <c r="BZ58" s="345">
        <v>1321</v>
      </c>
      <c r="CA58" s="345">
        <v>0</v>
      </c>
      <c r="CB58" s="345">
        <v>0</v>
      </c>
      <c r="CC58" s="808">
        <f t="shared" si="46"/>
        <v>1453</v>
      </c>
      <c r="CD58" s="211">
        <f t="shared" si="47"/>
        <v>242.16666666666666</v>
      </c>
      <c r="CE58" s="346">
        <v>0</v>
      </c>
      <c r="CF58" s="343">
        <v>0</v>
      </c>
      <c r="CG58" s="343">
        <v>584</v>
      </c>
      <c r="CH58" s="343">
        <v>0</v>
      </c>
      <c r="CI58" s="343">
        <v>2266</v>
      </c>
      <c r="CJ58" s="343">
        <v>0</v>
      </c>
      <c r="CK58" s="808">
        <f t="shared" si="48"/>
        <v>2850</v>
      </c>
      <c r="CL58" s="211">
        <f t="shared" si="49"/>
        <v>475</v>
      </c>
      <c r="CM58" s="346">
        <v>0</v>
      </c>
      <c r="CN58" s="343">
        <v>0</v>
      </c>
      <c r="CO58" s="343">
        <v>0</v>
      </c>
      <c r="CP58" s="343">
        <v>949</v>
      </c>
      <c r="CQ58" s="343">
        <v>0</v>
      </c>
      <c r="CR58" s="343">
        <v>1639</v>
      </c>
      <c r="CS58" s="808">
        <f t="shared" si="50"/>
        <v>2588</v>
      </c>
      <c r="CT58" s="211">
        <f t="shared" si="51"/>
        <v>431.33333333333331</v>
      </c>
      <c r="CU58" s="346">
        <v>0</v>
      </c>
      <c r="CV58" s="343">
        <v>0</v>
      </c>
      <c r="CW58" s="343">
        <v>0</v>
      </c>
      <c r="CX58" s="343">
        <v>0</v>
      </c>
      <c r="CY58" s="343">
        <v>1334</v>
      </c>
      <c r="CZ58" s="343">
        <v>0</v>
      </c>
      <c r="DA58" s="808">
        <f t="shared" si="52"/>
        <v>1334</v>
      </c>
      <c r="DB58" s="211">
        <f t="shared" si="53"/>
        <v>222.33333333333334</v>
      </c>
      <c r="DC58" s="346">
        <v>0</v>
      </c>
      <c r="DD58" s="343">
        <v>1343</v>
      </c>
      <c r="DE58" s="343">
        <v>0</v>
      </c>
      <c r="DF58" s="343">
        <v>0</v>
      </c>
      <c r="DG58" s="343"/>
      <c r="DH58" s="343">
        <v>0</v>
      </c>
      <c r="DI58" s="808">
        <f t="shared" si="54"/>
        <v>1343</v>
      </c>
      <c r="DJ58" s="211">
        <f t="shared" si="55"/>
        <v>223.83333333333334</v>
      </c>
      <c r="DK58" s="346">
        <v>2990</v>
      </c>
      <c r="DL58" s="343">
        <v>0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6"/>
        <v>2990</v>
      </c>
      <c r="DR58" s="211">
        <f t="shared" si="57"/>
        <v>498.33333333333331</v>
      </c>
      <c r="DS58" s="346">
        <v>2200</v>
      </c>
      <c r="DT58" s="343">
        <v>756</v>
      </c>
      <c r="DU58" s="343">
        <v>0</v>
      </c>
      <c r="DV58" s="343">
        <v>643</v>
      </c>
      <c r="DW58" s="343">
        <v>0</v>
      </c>
      <c r="DX58" s="343">
        <v>0</v>
      </c>
      <c r="DY58" s="808">
        <f t="shared" si="58"/>
        <v>3599</v>
      </c>
      <c r="DZ58" s="211">
        <f t="shared" si="59"/>
        <v>599.83333333333337</v>
      </c>
      <c r="EA58" s="346">
        <v>0</v>
      </c>
      <c r="EB58" s="343">
        <v>612</v>
      </c>
      <c r="EC58" s="343"/>
      <c r="ED58" s="343">
        <v>1650</v>
      </c>
      <c r="EE58" s="343">
        <v>1324</v>
      </c>
      <c r="EF58" s="343">
        <v>1356</v>
      </c>
      <c r="EG58" s="808">
        <f t="shared" si="60"/>
        <v>4942</v>
      </c>
      <c r="EH58" s="211">
        <f t="shared" si="61"/>
        <v>823.66666666666663</v>
      </c>
      <c r="EI58" s="346">
        <v>995</v>
      </c>
      <c r="EJ58" s="343">
        <v>1609</v>
      </c>
      <c r="EK58" s="343">
        <v>0</v>
      </c>
      <c r="EL58" s="343">
        <v>0</v>
      </c>
      <c r="EM58" s="343">
        <v>0</v>
      </c>
      <c r="EN58" s="343">
        <v>0</v>
      </c>
      <c r="EO58" s="808">
        <f t="shared" si="62"/>
        <v>2604</v>
      </c>
      <c r="EP58" s="211">
        <f t="shared" si="63"/>
        <v>434</v>
      </c>
      <c r="EQ58" s="346">
        <v>0</v>
      </c>
      <c r="ER58" s="343">
        <v>0</v>
      </c>
      <c r="ES58" s="343">
        <v>0</v>
      </c>
      <c r="ET58" s="343">
        <v>0</v>
      </c>
      <c r="EU58" s="343">
        <v>0</v>
      </c>
      <c r="EV58" s="343">
        <v>0</v>
      </c>
      <c r="EW58" s="808">
        <f t="shared" si="64"/>
        <v>0</v>
      </c>
      <c r="EX58" s="211">
        <f t="shared" si="65"/>
        <v>0</v>
      </c>
      <c r="EY58" s="346">
        <v>1949</v>
      </c>
      <c r="EZ58" s="343">
        <v>0</v>
      </c>
      <c r="FA58" s="343">
        <v>400</v>
      </c>
      <c r="FB58" s="343">
        <v>1306</v>
      </c>
      <c r="FC58" s="343">
        <v>2813</v>
      </c>
      <c r="FD58" s="343">
        <v>0</v>
      </c>
      <c r="FE58" s="808">
        <f t="shared" si="66"/>
        <v>6468</v>
      </c>
      <c r="FF58" s="211">
        <f t="shared" si="67"/>
        <v>1078</v>
      </c>
      <c r="FG58" s="755">
        <v>0</v>
      </c>
      <c r="FH58" s="345">
        <v>0</v>
      </c>
      <c r="FI58" s="345">
        <v>0</v>
      </c>
      <c r="FJ58" s="345">
        <v>0</v>
      </c>
      <c r="FK58" s="345">
        <v>0</v>
      </c>
      <c r="FL58" s="345">
        <v>0</v>
      </c>
      <c r="FM58" s="808">
        <f t="shared" si="68"/>
        <v>0</v>
      </c>
      <c r="FN58" s="211">
        <f t="shared" si="69"/>
        <v>0</v>
      </c>
      <c r="FO58" s="346">
        <v>0</v>
      </c>
      <c r="FP58" s="343">
        <v>0</v>
      </c>
      <c r="FQ58" s="343">
        <v>1306</v>
      </c>
      <c r="FR58" s="343">
        <v>1608</v>
      </c>
      <c r="FS58" s="343">
        <v>374</v>
      </c>
      <c r="FT58" s="343">
        <v>0</v>
      </c>
      <c r="FU58" s="808">
        <f t="shared" si="70"/>
        <v>3288</v>
      </c>
      <c r="FV58" s="211">
        <f t="shared" si="71"/>
        <v>548</v>
      </c>
      <c r="FW58" s="346">
        <v>654</v>
      </c>
      <c r="FX58" s="343">
        <v>0</v>
      </c>
      <c r="FY58" s="343">
        <v>770</v>
      </c>
      <c r="FZ58" s="343">
        <v>1191</v>
      </c>
      <c r="GA58" s="343">
        <v>0</v>
      </c>
      <c r="GB58" s="343">
        <v>0</v>
      </c>
      <c r="GC58" s="808">
        <f t="shared" si="72"/>
        <v>2615</v>
      </c>
      <c r="GD58" s="211">
        <f t="shared" si="73"/>
        <v>435.83333333333331</v>
      </c>
      <c r="GE58" s="346">
        <v>0</v>
      </c>
      <c r="GF58" s="343">
        <v>1921</v>
      </c>
      <c r="GG58" s="343">
        <v>0</v>
      </c>
      <c r="GH58" s="343">
        <v>0</v>
      </c>
      <c r="GI58" s="343">
        <v>0</v>
      </c>
      <c r="GJ58" s="343">
        <v>0</v>
      </c>
      <c r="GK58" s="808">
        <f t="shared" si="74"/>
        <v>1921</v>
      </c>
      <c r="GL58" s="211">
        <f t="shared" si="75"/>
        <v>320.16666666666669</v>
      </c>
      <c r="GM58" s="755">
        <v>0</v>
      </c>
      <c r="GN58" s="345">
        <v>0</v>
      </c>
      <c r="GO58" s="345">
        <v>2250</v>
      </c>
      <c r="GP58" s="345">
        <v>0</v>
      </c>
      <c r="GQ58" s="345">
        <v>0</v>
      </c>
      <c r="GR58" s="345">
        <v>0</v>
      </c>
      <c r="GS58" s="872">
        <f t="shared" si="76"/>
        <v>2250</v>
      </c>
      <c r="GT58" s="873">
        <f t="shared" si="77"/>
        <v>375</v>
      </c>
      <c r="GU58" s="346">
        <v>0</v>
      </c>
      <c r="GV58" s="343">
        <v>0</v>
      </c>
      <c r="GW58" s="343">
        <v>0</v>
      </c>
      <c r="GX58" s="343">
        <v>330</v>
      </c>
      <c r="GY58" s="343">
        <v>2313</v>
      </c>
      <c r="GZ58" s="343">
        <v>0</v>
      </c>
      <c r="HA58" s="872">
        <f t="shared" si="78"/>
        <v>2643</v>
      </c>
      <c r="HB58" s="873">
        <f t="shared" si="79"/>
        <v>440.5</v>
      </c>
      <c r="HC58" s="346">
        <v>0</v>
      </c>
      <c r="HD58" s="343">
        <v>308</v>
      </c>
      <c r="HE58" s="343">
        <v>1313</v>
      </c>
      <c r="HF58" s="343">
        <v>0</v>
      </c>
      <c r="HG58" s="343">
        <v>345</v>
      </c>
      <c r="HH58" s="343">
        <v>634</v>
      </c>
      <c r="HI58" s="872">
        <f t="shared" si="80"/>
        <v>2600</v>
      </c>
      <c r="HJ58" s="873">
        <f t="shared" si="81"/>
        <v>433.33333333333331</v>
      </c>
      <c r="HK58" s="346">
        <v>0</v>
      </c>
      <c r="HL58" s="343">
        <v>0</v>
      </c>
      <c r="HM58" s="343">
        <v>0</v>
      </c>
      <c r="HN58" s="343">
        <v>0</v>
      </c>
      <c r="HO58" s="343">
        <v>400</v>
      </c>
      <c r="HP58" s="343">
        <v>1505</v>
      </c>
      <c r="HQ58" s="872">
        <f t="shared" si="82"/>
        <v>1905</v>
      </c>
      <c r="HR58" s="873">
        <f t="shared" si="83"/>
        <v>317.5</v>
      </c>
      <c r="HS58" s="346">
        <v>1587</v>
      </c>
      <c r="HT58" s="343">
        <v>0</v>
      </c>
      <c r="HU58" s="343"/>
      <c r="HV58" s="343"/>
      <c r="HW58" s="343"/>
      <c r="HX58" s="343"/>
      <c r="HY58" s="872">
        <f t="shared" si="84"/>
        <v>1587</v>
      </c>
      <c r="HZ58" s="873">
        <f t="shared" si="85"/>
        <v>264.5</v>
      </c>
    </row>
    <row r="59" spans="1:234" s="323" customFormat="1" ht="15" customHeight="1" x14ac:dyDescent="0.2">
      <c r="A59" s="21">
        <v>48</v>
      </c>
      <c r="B59" s="21" t="s">
        <v>95</v>
      </c>
      <c r="C59" s="275" t="s">
        <v>96</v>
      </c>
      <c r="D59" s="21">
        <v>25</v>
      </c>
      <c r="E59" s="24"/>
      <c r="F59" s="24">
        <v>3158</v>
      </c>
      <c r="G59" s="24"/>
      <c r="H59" s="24"/>
      <c r="I59" s="360"/>
      <c r="J59" s="360">
        <f>SUMIF(SUMPK!$B:$B,$B:$B,SUMPK!$O:$O)</f>
        <v>0</v>
      </c>
      <c r="K59" s="24"/>
      <c r="L59" s="24">
        <f t="shared" si="86"/>
        <v>3158</v>
      </c>
      <c r="M59" s="15">
        <f t="shared" si="27"/>
        <v>3158</v>
      </c>
      <c r="N59" s="15">
        <v>423.33333333333331</v>
      </c>
      <c r="O59" s="276">
        <f t="shared" si="28"/>
        <v>7.45984251968504</v>
      </c>
      <c r="P59" s="15">
        <v>167.5</v>
      </c>
      <c r="Q59" s="711">
        <f t="shared" si="29"/>
        <v>1600</v>
      </c>
      <c r="R59" s="276">
        <f t="shared" si="30"/>
        <v>113.12238805970148</v>
      </c>
      <c r="S59" s="712">
        <f t="shared" si="31"/>
        <v>369.23076923076923</v>
      </c>
      <c r="T59" s="713">
        <v>9600</v>
      </c>
      <c r="U59" s="276">
        <f t="shared" si="92"/>
        <v>8.5529166666666665</v>
      </c>
      <c r="V59" s="278"/>
      <c r="W59" s="276">
        <f t="shared" si="33"/>
        <v>8.5529166666666665</v>
      </c>
      <c r="X59" s="823">
        <f t="shared" si="0"/>
        <v>1</v>
      </c>
      <c r="Y59" s="305">
        <v>15</v>
      </c>
      <c r="Z59" s="824"/>
      <c r="AA59" s="244">
        <v>0</v>
      </c>
      <c r="AB59" s="64">
        <v>0</v>
      </c>
      <c r="AC59" s="64">
        <v>1912</v>
      </c>
      <c r="AD59" s="64">
        <v>0</v>
      </c>
      <c r="AE59" s="64">
        <v>1870</v>
      </c>
      <c r="AF59" s="64">
        <v>445</v>
      </c>
      <c r="AG59" s="64">
        <f t="shared" si="34"/>
        <v>4227</v>
      </c>
      <c r="AH59" s="211">
        <f t="shared" si="35"/>
        <v>704.5</v>
      </c>
      <c r="AI59" s="755">
        <v>1114</v>
      </c>
      <c r="AJ59" s="345">
        <v>0</v>
      </c>
      <c r="AK59" s="345">
        <v>0</v>
      </c>
      <c r="AL59" s="345">
        <v>330</v>
      </c>
      <c r="AM59" s="345">
        <v>2019</v>
      </c>
      <c r="AN59" s="345">
        <v>581</v>
      </c>
      <c r="AO59" s="808">
        <f t="shared" si="36"/>
        <v>4044</v>
      </c>
      <c r="AP59" s="809">
        <f t="shared" si="37"/>
        <v>674</v>
      </c>
      <c r="AQ59" s="814">
        <v>0</v>
      </c>
      <c r="AR59" s="815">
        <v>655</v>
      </c>
      <c r="AS59" s="815">
        <v>0</v>
      </c>
      <c r="AT59" s="815">
        <v>0</v>
      </c>
      <c r="AU59" s="815">
        <v>0</v>
      </c>
      <c r="AV59" s="815">
        <v>1426</v>
      </c>
      <c r="AW59" s="808">
        <f t="shared" si="38"/>
        <v>2081</v>
      </c>
      <c r="AX59" s="211">
        <f t="shared" si="39"/>
        <v>346.83333333333331</v>
      </c>
      <c r="AY59" s="346">
        <v>0</v>
      </c>
      <c r="AZ59" s="343">
        <v>2868</v>
      </c>
      <c r="BA59" s="343">
        <v>0</v>
      </c>
      <c r="BB59" s="343">
        <v>0</v>
      </c>
      <c r="BC59" s="343">
        <v>0</v>
      </c>
      <c r="BD59" s="343">
        <v>418</v>
      </c>
      <c r="BE59" s="808">
        <f t="shared" si="40"/>
        <v>3286</v>
      </c>
      <c r="BF59" s="211">
        <f t="shared" si="41"/>
        <v>547.66666666666663</v>
      </c>
      <c r="BG59" s="814">
        <v>0</v>
      </c>
      <c r="BH59" s="815">
        <v>1775</v>
      </c>
      <c r="BI59" s="815">
        <v>0</v>
      </c>
      <c r="BJ59" s="815">
        <v>645</v>
      </c>
      <c r="BK59" s="815">
        <v>0</v>
      </c>
      <c r="BL59" s="815">
        <v>1407</v>
      </c>
      <c r="BM59" s="808">
        <f t="shared" si="42"/>
        <v>3827</v>
      </c>
      <c r="BN59" s="211">
        <f t="shared" si="43"/>
        <v>637.83333333333337</v>
      </c>
      <c r="BO59" s="755">
        <v>0</v>
      </c>
      <c r="BP59" s="345">
        <v>1416</v>
      </c>
      <c r="BQ59" s="345">
        <v>0</v>
      </c>
      <c r="BR59" s="345">
        <v>1362</v>
      </c>
      <c r="BS59" s="345">
        <v>990</v>
      </c>
      <c r="BT59" s="345">
        <v>0</v>
      </c>
      <c r="BU59" s="808">
        <f t="shared" si="44"/>
        <v>3768</v>
      </c>
      <c r="BV59" s="211">
        <f t="shared" si="45"/>
        <v>628</v>
      </c>
      <c r="BW59" s="755">
        <v>0</v>
      </c>
      <c r="BX59" s="345">
        <v>0</v>
      </c>
      <c r="BY59" s="345">
        <v>0</v>
      </c>
      <c r="BZ59" s="345">
        <v>704</v>
      </c>
      <c r="CA59" s="345">
        <v>0</v>
      </c>
      <c r="CB59" s="345">
        <v>1275</v>
      </c>
      <c r="CC59" s="808">
        <f t="shared" si="46"/>
        <v>1979</v>
      </c>
      <c r="CD59" s="211">
        <f t="shared" si="47"/>
        <v>329.83333333333331</v>
      </c>
      <c r="CE59" s="346">
        <v>0</v>
      </c>
      <c r="CF59" s="343">
        <v>1396</v>
      </c>
      <c r="CG59" s="343">
        <v>0</v>
      </c>
      <c r="CH59" s="343">
        <v>0</v>
      </c>
      <c r="CI59" s="343">
        <v>1526</v>
      </c>
      <c r="CJ59" s="343">
        <v>0</v>
      </c>
      <c r="CK59" s="808">
        <f t="shared" si="48"/>
        <v>2922</v>
      </c>
      <c r="CL59" s="211">
        <f t="shared" si="49"/>
        <v>487</v>
      </c>
      <c r="CM59" s="346">
        <v>967</v>
      </c>
      <c r="CN59" s="343">
        <v>0</v>
      </c>
      <c r="CO59" s="343">
        <v>0</v>
      </c>
      <c r="CP59" s="343">
        <v>0</v>
      </c>
      <c r="CQ59" s="343">
        <v>0</v>
      </c>
      <c r="CR59" s="343">
        <v>985</v>
      </c>
      <c r="CS59" s="808">
        <f t="shared" si="50"/>
        <v>1952</v>
      </c>
      <c r="CT59" s="211">
        <f t="shared" si="51"/>
        <v>325.33333333333331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968</v>
      </c>
      <c r="CZ59" s="343">
        <v>0</v>
      </c>
      <c r="DA59" s="808">
        <f t="shared" si="52"/>
        <v>968</v>
      </c>
      <c r="DB59" s="211">
        <f t="shared" si="53"/>
        <v>161.33333333333334</v>
      </c>
      <c r="DC59" s="346">
        <v>0</v>
      </c>
      <c r="DD59" s="343">
        <v>0</v>
      </c>
      <c r="DE59" s="343">
        <v>1272</v>
      </c>
      <c r="DF59" s="343">
        <v>0</v>
      </c>
      <c r="DG59" s="343"/>
      <c r="DH59" s="343">
        <v>0</v>
      </c>
      <c r="DI59" s="808">
        <f t="shared" si="54"/>
        <v>1272</v>
      </c>
      <c r="DJ59" s="211">
        <f t="shared" si="55"/>
        <v>212</v>
      </c>
      <c r="DK59" s="346">
        <v>1676</v>
      </c>
      <c r="DL59" s="343">
        <v>0</v>
      </c>
      <c r="DM59" s="343">
        <v>0</v>
      </c>
      <c r="DN59" s="343">
        <v>1018</v>
      </c>
      <c r="DO59" s="343">
        <v>0</v>
      </c>
      <c r="DP59" s="343">
        <v>1718</v>
      </c>
      <c r="DQ59" s="808">
        <f t="shared" si="56"/>
        <v>4412</v>
      </c>
      <c r="DR59" s="211">
        <f t="shared" si="57"/>
        <v>735.33333333333337</v>
      </c>
      <c r="DS59" s="346">
        <v>0</v>
      </c>
      <c r="DT59" s="343">
        <v>0</v>
      </c>
      <c r="DU59" s="343">
        <v>0</v>
      </c>
      <c r="DV59" s="343">
        <v>571</v>
      </c>
      <c r="DW59" s="343">
        <v>0</v>
      </c>
      <c r="DX59" s="343">
        <v>1251</v>
      </c>
      <c r="DY59" s="808">
        <f t="shared" si="58"/>
        <v>1822</v>
      </c>
      <c r="DZ59" s="211">
        <f t="shared" si="59"/>
        <v>303.66666666666669</v>
      </c>
      <c r="EA59" s="346">
        <v>0</v>
      </c>
      <c r="EB59" s="343">
        <v>0</v>
      </c>
      <c r="EC59" s="343"/>
      <c r="ED59" s="343">
        <v>1320</v>
      </c>
      <c r="EE59" s="343">
        <v>301</v>
      </c>
      <c r="EF59" s="343">
        <v>0</v>
      </c>
      <c r="EG59" s="808">
        <f t="shared" si="60"/>
        <v>1621</v>
      </c>
      <c r="EH59" s="211">
        <f t="shared" si="61"/>
        <v>270.16666666666669</v>
      </c>
      <c r="EI59" s="346">
        <v>1979</v>
      </c>
      <c r="EJ59" s="343">
        <v>0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2"/>
        <v>1979</v>
      </c>
      <c r="EP59" s="211">
        <f t="shared" si="63"/>
        <v>329.83333333333331</v>
      </c>
      <c r="EQ59" s="346">
        <v>0</v>
      </c>
      <c r="ER59" s="343">
        <v>0</v>
      </c>
      <c r="ES59" s="343">
        <v>1168</v>
      </c>
      <c r="ET59" s="343">
        <v>0</v>
      </c>
      <c r="EU59" s="343">
        <v>1619</v>
      </c>
      <c r="EV59" s="343">
        <v>0</v>
      </c>
      <c r="EW59" s="808">
        <f t="shared" si="64"/>
        <v>2787</v>
      </c>
      <c r="EX59" s="211">
        <f t="shared" si="65"/>
        <v>464.5</v>
      </c>
      <c r="EY59" s="346">
        <v>0</v>
      </c>
      <c r="EZ59" s="343">
        <v>1400</v>
      </c>
      <c r="FA59" s="343">
        <v>0</v>
      </c>
      <c r="FB59" s="343">
        <v>0</v>
      </c>
      <c r="FC59" s="343">
        <v>1831</v>
      </c>
      <c r="FD59" s="343">
        <v>287</v>
      </c>
      <c r="FE59" s="808">
        <f t="shared" si="66"/>
        <v>3518</v>
      </c>
      <c r="FF59" s="211">
        <f t="shared" si="67"/>
        <v>586.33333333333337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8"/>
        <v>0</v>
      </c>
      <c r="FN59" s="211">
        <f t="shared" si="69"/>
        <v>0</v>
      </c>
      <c r="FO59" s="346">
        <v>211</v>
      </c>
      <c r="FP59" s="343">
        <v>0</v>
      </c>
      <c r="FQ59" s="343">
        <v>0</v>
      </c>
      <c r="FR59" s="343">
        <v>0</v>
      </c>
      <c r="FS59" s="343">
        <v>1208</v>
      </c>
      <c r="FT59" s="343">
        <v>0</v>
      </c>
      <c r="FU59" s="808">
        <f t="shared" si="70"/>
        <v>1419</v>
      </c>
      <c r="FV59" s="211">
        <f t="shared" si="71"/>
        <v>236.5</v>
      </c>
      <c r="FW59" s="346">
        <v>127</v>
      </c>
      <c r="FX59" s="343">
        <v>0</v>
      </c>
      <c r="FY59" s="343">
        <v>1159</v>
      </c>
      <c r="FZ59" s="343">
        <v>0</v>
      </c>
      <c r="GA59" s="343">
        <v>1263</v>
      </c>
      <c r="GB59" s="343">
        <v>0</v>
      </c>
      <c r="GC59" s="808">
        <f t="shared" si="72"/>
        <v>2549</v>
      </c>
      <c r="GD59" s="211">
        <f t="shared" si="73"/>
        <v>424.83333333333331</v>
      </c>
      <c r="GE59" s="346">
        <v>0</v>
      </c>
      <c r="GF59" s="343">
        <v>1169</v>
      </c>
      <c r="GG59" s="343">
        <v>0</v>
      </c>
      <c r="GH59" s="343">
        <v>0</v>
      </c>
      <c r="GI59" s="343">
        <v>0</v>
      </c>
      <c r="GJ59" s="343">
        <v>1631</v>
      </c>
      <c r="GK59" s="808">
        <f t="shared" si="74"/>
        <v>2800</v>
      </c>
      <c r="GL59" s="211">
        <f t="shared" si="75"/>
        <v>466.66666666666669</v>
      </c>
      <c r="GM59" s="755">
        <v>83</v>
      </c>
      <c r="GN59" s="345">
        <v>0</v>
      </c>
      <c r="GO59" s="345">
        <v>0</v>
      </c>
      <c r="GP59" s="345">
        <v>0</v>
      </c>
      <c r="GQ59" s="345">
        <v>1292</v>
      </c>
      <c r="GR59" s="345">
        <v>0</v>
      </c>
      <c r="GS59" s="872">
        <f t="shared" si="76"/>
        <v>1375</v>
      </c>
      <c r="GT59" s="873">
        <f t="shared" si="77"/>
        <v>229.16666666666666</v>
      </c>
      <c r="GU59" s="346">
        <v>0</v>
      </c>
      <c r="GV59" s="343">
        <v>0</v>
      </c>
      <c r="GW59" s="343">
        <v>1417</v>
      </c>
      <c r="GX59" s="343">
        <v>0</v>
      </c>
      <c r="GY59" s="343">
        <v>0</v>
      </c>
      <c r="GZ59" s="343">
        <v>0</v>
      </c>
      <c r="HA59" s="872">
        <f t="shared" si="78"/>
        <v>1417</v>
      </c>
      <c r="HB59" s="873">
        <f t="shared" si="79"/>
        <v>236.16666666666666</v>
      </c>
      <c r="HC59" s="346">
        <v>0</v>
      </c>
      <c r="HD59" s="343">
        <v>787</v>
      </c>
      <c r="HE59" s="343">
        <v>0</v>
      </c>
      <c r="HF59" s="343">
        <v>0</v>
      </c>
      <c r="HG59" s="343">
        <v>1179</v>
      </c>
      <c r="HH59" s="343">
        <v>0</v>
      </c>
      <c r="HI59" s="872">
        <f t="shared" si="80"/>
        <v>1966</v>
      </c>
      <c r="HJ59" s="873">
        <f t="shared" si="81"/>
        <v>327.66666666666669</v>
      </c>
      <c r="HK59" s="346">
        <v>0</v>
      </c>
      <c r="HL59" s="343">
        <v>0</v>
      </c>
      <c r="HM59" s="343">
        <v>1210</v>
      </c>
      <c r="HN59" s="343">
        <v>0</v>
      </c>
      <c r="HO59" s="343">
        <v>0</v>
      </c>
      <c r="HP59" s="343">
        <v>1330</v>
      </c>
      <c r="HQ59" s="872">
        <f t="shared" si="82"/>
        <v>2540</v>
      </c>
      <c r="HR59" s="873">
        <f t="shared" si="83"/>
        <v>423.33333333333331</v>
      </c>
      <c r="HS59" s="346">
        <v>0</v>
      </c>
      <c r="HT59" s="343">
        <v>2374</v>
      </c>
      <c r="HU59" s="343"/>
      <c r="HV59" s="343"/>
      <c r="HW59" s="343"/>
      <c r="HX59" s="343"/>
      <c r="HY59" s="872">
        <f t="shared" si="84"/>
        <v>2374</v>
      </c>
      <c r="HZ59" s="873">
        <f t="shared" si="85"/>
        <v>395.66666666666669</v>
      </c>
    </row>
    <row r="60" spans="1:234" s="323" customFormat="1" ht="15" customHeight="1" x14ac:dyDescent="0.2">
      <c r="A60" s="21">
        <v>49</v>
      </c>
      <c r="B60" s="21" t="s">
        <v>97</v>
      </c>
      <c r="C60" s="275" t="s">
        <v>98</v>
      </c>
      <c r="D60" s="21">
        <v>25</v>
      </c>
      <c r="E60" s="24"/>
      <c r="F60" s="24">
        <v>7491</v>
      </c>
      <c r="G60" s="24"/>
      <c r="H60" s="24"/>
      <c r="I60" s="360"/>
      <c r="J60" s="360">
        <f>SUMIF(SUMPK!$B:$B,$B:$B,SUMPK!$O:$O)</f>
        <v>550</v>
      </c>
      <c r="K60" s="24"/>
      <c r="L60" s="24">
        <f t="shared" si="86"/>
        <v>6941</v>
      </c>
      <c r="M60" s="15">
        <f t="shared" si="27"/>
        <v>6941</v>
      </c>
      <c r="N60" s="15">
        <v>938.33333333333337</v>
      </c>
      <c r="O60" s="276">
        <f t="shared" si="28"/>
        <v>7.3971580817051503</v>
      </c>
      <c r="P60" s="15"/>
      <c r="Q60" s="711">
        <f t="shared" si="29"/>
        <v>2133.3333333333335</v>
      </c>
      <c r="R60" s="276">
        <f t="shared" si="30"/>
        <v>0</v>
      </c>
      <c r="S60" s="712">
        <f t="shared" si="31"/>
        <v>492.30769230769232</v>
      </c>
      <c r="T60" s="713">
        <v>12800</v>
      </c>
      <c r="U60" s="276">
        <f t="shared" si="92"/>
        <v>14.098906249999999</v>
      </c>
      <c r="V60" s="278"/>
      <c r="W60" s="276">
        <f t="shared" si="33"/>
        <v>14.098906249999999</v>
      </c>
      <c r="X60" s="279">
        <f t="shared" si="0"/>
        <v>1</v>
      </c>
      <c r="Y60" s="305">
        <v>17</v>
      </c>
      <c r="Z60" s="721"/>
      <c r="AA60" s="244">
        <v>0</v>
      </c>
      <c r="AB60" s="64">
        <v>0</v>
      </c>
      <c r="AC60" s="64">
        <v>0</v>
      </c>
      <c r="AD60" s="64">
        <v>2016</v>
      </c>
      <c r="AE60" s="64">
        <v>0</v>
      </c>
      <c r="AF60" s="64">
        <v>246</v>
      </c>
      <c r="AG60" s="64">
        <f t="shared" si="34"/>
        <v>2262</v>
      </c>
      <c r="AH60" s="211">
        <f t="shared" si="35"/>
        <v>377</v>
      </c>
      <c r="AI60" s="755">
        <v>602</v>
      </c>
      <c r="AJ60" s="345">
        <v>1644</v>
      </c>
      <c r="AK60" s="345">
        <v>0</v>
      </c>
      <c r="AL60" s="345">
        <v>0</v>
      </c>
      <c r="AM60" s="345">
        <v>261</v>
      </c>
      <c r="AN60" s="345">
        <v>963</v>
      </c>
      <c r="AO60" s="808">
        <f t="shared" si="36"/>
        <v>3470</v>
      </c>
      <c r="AP60" s="809">
        <f t="shared" si="37"/>
        <v>578.33333333333337</v>
      </c>
      <c r="AQ60" s="814">
        <v>1644</v>
      </c>
      <c r="AR60" s="815">
        <v>0</v>
      </c>
      <c r="AS60" s="815">
        <v>1927</v>
      </c>
      <c r="AT60" s="815">
        <v>506</v>
      </c>
      <c r="AU60" s="815">
        <v>0</v>
      </c>
      <c r="AV60" s="815">
        <v>0</v>
      </c>
      <c r="AW60" s="808">
        <f t="shared" si="38"/>
        <v>4077</v>
      </c>
      <c r="AX60" s="211">
        <f t="shared" si="39"/>
        <v>679.5</v>
      </c>
      <c r="AY60" s="346">
        <v>2937</v>
      </c>
      <c r="AZ60" s="343">
        <v>948</v>
      </c>
      <c r="BA60" s="343">
        <v>2541</v>
      </c>
      <c r="BB60" s="343">
        <v>0</v>
      </c>
      <c r="BC60" s="343">
        <v>182</v>
      </c>
      <c r="BD60" s="343">
        <v>0</v>
      </c>
      <c r="BE60" s="808">
        <f t="shared" si="40"/>
        <v>6608</v>
      </c>
      <c r="BF60" s="211">
        <f t="shared" si="41"/>
        <v>1101.3333333333333</v>
      </c>
      <c r="BG60" s="814">
        <v>2626</v>
      </c>
      <c r="BH60" s="815">
        <v>0</v>
      </c>
      <c r="BI60" s="815">
        <v>0</v>
      </c>
      <c r="BJ60" s="815">
        <v>0</v>
      </c>
      <c r="BK60" s="815">
        <v>1743</v>
      </c>
      <c r="BL60" s="815">
        <v>0</v>
      </c>
      <c r="BM60" s="808">
        <f t="shared" si="42"/>
        <v>4369</v>
      </c>
      <c r="BN60" s="211">
        <f t="shared" si="43"/>
        <v>728.16666666666663</v>
      </c>
      <c r="BO60" s="755">
        <v>2064</v>
      </c>
      <c r="BP60" s="345">
        <v>1611</v>
      </c>
      <c r="BQ60" s="345">
        <v>0</v>
      </c>
      <c r="BR60" s="345">
        <v>0</v>
      </c>
      <c r="BS60" s="345">
        <v>2184</v>
      </c>
      <c r="BT60" s="345">
        <v>0</v>
      </c>
      <c r="BU60" s="808">
        <f t="shared" si="44"/>
        <v>5859</v>
      </c>
      <c r="BV60" s="211">
        <f t="shared" si="45"/>
        <v>976.5</v>
      </c>
      <c r="BW60" s="755">
        <v>0</v>
      </c>
      <c r="BX60" s="345">
        <v>2381</v>
      </c>
      <c r="BY60" s="345">
        <v>0</v>
      </c>
      <c r="BZ60" s="345">
        <v>0</v>
      </c>
      <c r="CA60" s="345">
        <v>1870</v>
      </c>
      <c r="CB60" s="345">
        <v>1164</v>
      </c>
      <c r="CC60" s="808">
        <f t="shared" si="46"/>
        <v>5415</v>
      </c>
      <c r="CD60" s="211">
        <f t="shared" si="47"/>
        <v>902.5</v>
      </c>
      <c r="CE60" s="346">
        <v>71</v>
      </c>
      <c r="CF60" s="343">
        <v>1221</v>
      </c>
      <c r="CG60" s="343">
        <v>0</v>
      </c>
      <c r="CH60" s="343">
        <v>270</v>
      </c>
      <c r="CI60" s="343">
        <v>0</v>
      </c>
      <c r="CJ60" s="343">
        <v>615</v>
      </c>
      <c r="CK60" s="808">
        <f t="shared" si="48"/>
        <v>2177</v>
      </c>
      <c r="CL60" s="211">
        <f t="shared" si="49"/>
        <v>362.83333333333331</v>
      </c>
      <c r="CM60" s="346">
        <v>0</v>
      </c>
      <c r="CN60" s="343">
        <v>0</v>
      </c>
      <c r="CO60" s="343">
        <v>0</v>
      </c>
      <c r="CP60" s="343">
        <v>2245</v>
      </c>
      <c r="CQ60" s="343">
        <v>0</v>
      </c>
      <c r="CR60" s="343">
        <v>0</v>
      </c>
      <c r="CS60" s="808">
        <f t="shared" si="50"/>
        <v>2245</v>
      </c>
      <c r="CT60" s="211">
        <f t="shared" si="51"/>
        <v>374.16666666666669</v>
      </c>
      <c r="CU60" s="346">
        <v>0</v>
      </c>
      <c r="CV60" s="343">
        <v>0</v>
      </c>
      <c r="CW60" s="343">
        <v>2886</v>
      </c>
      <c r="CX60" s="343">
        <v>0</v>
      </c>
      <c r="CY60" s="343">
        <v>0</v>
      </c>
      <c r="CZ60" s="343">
        <v>1320</v>
      </c>
      <c r="DA60" s="808">
        <f t="shared" si="52"/>
        <v>4206</v>
      </c>
      <c r="DB60" s="211">
        <f t="shared" si="53"/>
        <v>701</v>
      </c>
      <c r="DC60" s="346">
        <v>587</v>
      </c>
      <c r="DD60" s="343">
        <v>440</v>
      </c>
      <c r="DE60" s="343">
        <v>2852</v>
      </c>
      <c r="DF60" s="343">
        <v>0</v>
      </c>
      <c r="DG60" s="343"/>
      <c r="DH60" s="343">
        <v>5140</v>
      </c>
      <c r="DI60" s="808">
        <f t="shared" si="54"/>
        <v>9019</v>
      </c>
      <c r="DJ60" s="211">
        <f t="shared" si="55"/>
        <v>1503.1666666666667</v>
      </c>
      <c r="DK60" s="346">
        <v>0</v>
      </c>
      <c r="DL60" s="343">
        <v>0</v>
      </c>
      <c r="DM60" s="343">
        <v>0</v>
      </c>
      <c r="DN60" s="343">
        <v>0</v>
      </c>
      <c r="DO60" s="343">
        <v>1549</v>
      </c>
      <c r="DP60" s="343">
        <v>0</v>
      </c>
      <c r="DQ60" s="808">
        <f t="shared" si="56"/>
        <v>1549</v>
      </c>
      <c r="DR60" s="211">
        <f t="shared" si="57"/>
        <v>258.16666666666669</v>
      </c>
      <c r="DS60" s="346">
        <v>0</v>
      </c>
      <c r="DT60" s="343">
        <v>2963</v>
      </c>
      <c r="DU60" s="343">
        <v>0</v>
      </c>
      <c r="DV60" s="343">
        <v>356</v>
      </c>
      <c r="DW60" s="343">
        <v>0</v>
      </c>
      <c r="DX60" s="343">
        <v>0</v>
      </c>
      <c r="DY60" s="808">
        <f t="shared" si="58"/>
        <v>3319</v>
      </c>
      <c r="DZ60" s="211">
        <f t="shared" si="59"/>
        <v>553.16666666666663</v>
      </c>
      <c r="EA60" s="346">
        <v>0</v>
      </c>
      <c r="EB60" s="343">
        <v>0</v>
      </c>
      <c r="EC60" s="343"/>
      <c r="ED60" s="343">
        <v>0</v>
      </c>
      <c r="EE60" s="343">
        <v>0</v>
      </c>
      <c r="EF60" s="343">
        <v>1407</v>
      </c>
      <c r="EG60" s="808">
        <f t="shared" si="60"/>
        <v>1407</v>
      </c>
      <c r="EH60" s="211">
        <f t="shared" si="61"/>
        <v>234.5</v>
      </c>
      <c r="EI60" s="346">
        <v>0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2"/>
        <v>0</v>
      </c>
      <c r="EP60" s="211">
        <f t="shared" si="63"/>
        <v>0</v>
      </c>
      <c r="EQ60" s="346">
        <v>1663</v>
      </c>
      <c r="ER60" s="343">
        <v>0</v>
      </c>
      <c r="ES60" s="343">
        <v>0</v>
      </c>
      <c r="ET60" s="343">
        <v>144</v>
      </c>
      <c r="EU60" s="343">
        <v>0</v>
      </c>
      <c r="EV60" s="343">
        <v>0</v>
      </c>
      <c r="EW60" s="808">
        <f t="shared" si="64"/>
        <v>1807</v>
      </c>
      <c r="EX60" s="211">
        <f t="shared" si="65"/>
        <v>301.16666666666669</v>
      </c>
      <c r="EY60" s="346">
        <v>1543</v>
      </c>
      <c r="EZ60" s="343">
        <v>0</v>
      </c>
      <c r="FA60" s="343">
        <v>1619</v>
      </c>
      <c r="FB60" s="343">
        <v>0</v>
      </c>
      <c r="FC60" s="343">
        <v>0</v>
      </c>
      <c r="FD60" s="343">
        <v>1546</v>
      </c>
      <c r="FE60" s="808">
        <f t="shared" si="66"/>
        <v>4708</v>
      </c>
      <c r="FF60" s="211">
        <f t="shared" si="67"/>
        <v>784.66666666666663</v>
      </c>
      <c r="FG60" s="755">
        <v>0</v>
      </c>
      <c r="FH60" s="345">
        <v>0</v>
      </c>
      <c r="FI60" s="345">
        <v>0</v>
      </c>
      <c r="FJ60" s="345">
        <v>810</v>
      </c>
      <c r="FK60" s="345">
        <v>836</v>
      </c>
      <c r="FL60" s="345">
        <v>0</v>
      </c>
      <c r="FM60" s="808">
        <f t="shared" si="68"/>
        <v>1646</v>
      </c>
      <c r="FN60" s="211">
        <f t="shared" si="69"/>
        <v>274.33333333333331</v>
      </c>
      <c r="FO60" s="346">
        <v>0</v>
      </c>
      <c r="FP60" s="343">
        <v>0</v>
      </c>
      <c r="FQ60" s="343">
        <v>0</v>
      </c>
      <c r="FR60" s="343">
        <v>0</v>
      </c>
      <c r="FS60" s="343">
        <v>0</v>
      </c>
      <c r="FT60" s="343">
        <v>1213</v>
      </c>
      <c r="FU60" s="808">
        <f t="shared" si="70"/>
        <v>1213</v>
      </c>
      <c r="FV60" s="211">
        <f t="shared" si="71"/>
        <v>202.16666666666666</v>
      </c>
      <c r="FW60" s="346">
        <v>0</v>
      </c>
      <c r="FX60" s="343">
        <v>721</v>
      </c>
      <c r="FY60" s="343">
        <v>0</v>
      </c>
      <c r="FZ60" s="343">
        <v>693</v>
      </c>
      <c r="GA60" s="343">
        <v>0</v>
      </c>
      <c r="GB60" s="343">
        <v>1630</v>
      </c>
      <c r="GC60" s="808">
        <f t="shared" si="72"/>
        <v>3044</v>
      </c>
      <c r="GD60" s="211">
        <f t="shared" si="73"/>
        <v>507.33333333333331</v>
      </c>
      <c r="GE60" s="346">
        <v>0</v>
      </c>
      <c r="GF60" s="343">
        <v>0</v>
      </c>
      <c r="GG60" s="343">
        <v>532</v>
      </c>
      <c r="GH60" s="343">
        <v>1622</v>
      </c>
      <c r="GI60" s="343">
        <v>0</v>
      </c>
      <c r="GJ60" s="343">
        <v>0</v>
      </c>
      <c r="GK60" s="808">
        <f t="shared" si="74"/>
        <v>2154</v>
      </c>
      <c r="GL60" s="211">
        <f t="shared" si="75"/>
        <v>359</v>
      </c>
      <c r="GM60" s="755">
        <v>90</v>
      </c>
      <c r="GN60" s="345">
        <v>0</v>
      </c>
      <c r="GO60" s="345">
        <v>0</v>
      </c>
      <c r="GP60" s="345">
        <v>300</v>
      </c>
      <c r="GQ60" s="345">
        <v>626</v>
      </c>
      <c r="GR60" s="345">
        <v>0</v>
      </c>
      <c r="GS60" s="872">
        <f t="shared" si="76"/>
        <v>1016</v>
      </c>
      <c r="GT60" s="873">
        <f t="shared" si="77"/>
        <v>169.33333333333334</v>
      </c>
      <c r="GU60" s="346">
        <v>0</v>
      </c>
      <c r="GV60" s="343">
        <v>1438</v>
      </c>
      <c r="GW60" s="343">
        <v>0</v>
      </c>
      <c r="GX60" s="343">
        <v>0</v>
      </c>
      <c r="GY60" s="343">
        <v>0</v>
      </c>
      <c r="GZ60" s="343">
        <v>1400</v>
      </c>
      <c r="HA60" s="872">
        <f t="shared" si="78"/>
        <v>2838</v>
      </c>
      <c r="HB60" s="873">
        <f t="shared" si="79"/>
        <v>473</v>
      </c>
      <c r="HC60" s="346">
        <v>0</v>
      </c>
      <c r="HD60" s="343">
        <v>1003</v>
      </c>
      <c r="HE60" s="343">
        <v>1309</v>
      </c>
      <c r="HF60" s="343">
        <v>0</v>
      </c>
      <c r="HG60" s="343">
        <v>0</v>
      </c>
      <c r="HH60" s="343">
        <v>0</v>
      </c>
      <c r="HI60" s="872">
        <f t="shared" si="80"/>
        <v>2312</v>
      </c>
      <c r="HJ60" s="873">
        <f t="shared" si="81"/>
        <v>385.33333333333331</v>
      </c>
      <c r="HK60" s="346">
        <v>343</v>
      </c>
      <c r="HL60" s="343">
        <v>1125</v>
      </c>
      <c r="HM60" s="343">
        <v>0</v>
      </c>
      <c r="HN60" s="343">
        <v>1081</v>
      </c>
      <c r="HO60" s="343">
        <v>2512</v>
      </c>
      <c r="HP60" s="343">
        <v>569</v>
      </c>
      <c r="HQ60" s="872">
        <f t="shared" si="82"/>
        <v>5630</v>
      </c>
      <c r="HR60" s="873">
        <f t="shared" si="83"/>
        <v>938.33333333333337</v>
      </c>
      <c r="HS60" s="346">
        <v>0</v>
      </c>
      <c r="HT60" s="343">
        <v>0</v>
      </c>
      <c r="HU60" s="343"/>
      <c r="HV60" s="343"/>
      <c r="HW60" s="343"/>
      <c r="HX60" s="343"/>
      <c r="HY60" s="872">
        <f t="shared" si="84"/>
        <v>0</v>
      </c>
      <c r="HZ60" s="873">
        <f t="shared" si="85"/>
        <v>0</v>
      </c>
    </row>
    <row r="61" spans="1:234" s="323" customFormat="1" ht="15" customHeight="1" x14ac:dyDescent="0.2">
      <c r="A61" s="21">
        <v>50</v>
      </c>
      <c r="B61" s="21" t="s">
        <v>181</v>
      </c>
      <c r="C61" s="275" t="s">
        <v>180</v>
      </c>
      <c r="D61" s="21">
        <v>25</v>
      </c>
      <c r="E61" s="24"/>
      <c r="F61" s="24">
        <v>1238</v>
      </c>
      <c r="G61" s="24"/>
      <c r="H61" s="24"/>
      <c r="I61" s="24"/>
      <c r="J61" s="360">
        <f>SUMIF(SUMPK!$B:$B,$B:$B,SUMPK!$O:$O)</f>
        <v>0</v>
      </c>
      <c r="K61" s="24"/>
      <c r="L61" s="24">
        <f t="shared" si="86"/>
        <v>1238</v>
      </c>
      <c r="M61" s="15">
        <f t="shared" si="27"/>
        <v>1238</v>
      </c>
      <c r="N61" s="15">
        <v>0</v>
      </c>
      <c r="O61" s="276">
        <f t="shared" si="28"/>
        <v>0</v>
      </c>
      <c r="P61" s="15"/>
      <c r="Q61" s="711">
        <f t="shared" si="29"/>
        <v>0</v>
      </c>
      <c r="R61" s="276">
        <f t="shared" si="30"/>
        <v>0</v>
      </c>
      <c r="S61" s="712">
        <f t="shared" si="31"/>
        <v>0</v>
      </c>
      <c r="T61" s="713"/>
      <c r="U61" s="276">
        <f t="shared" si="92"/>
        <v>0</v>
      </c>
      <c r="V61" s="278"/>
      <c r="W61" s="276">
        <f t="shared" si="33"/>
        <v>0</v>
      </c>
      <c r="X61" s="279">
        <f t="shared" si="0"/>
        <v>1</v>
      </c>
      <c r="Y61" s="305">
        <v>13.5</v>
      </c>
      <c r="Z61" s="721"/>
      <c r="AA61" s="244">
        <v>0</v>
      </c>
      <c r="AB61" s="64">
        <v>0</v>
      </c>
      <c r="AC61" s="64">
        <v>0</v>
      </c>
      <c r="AD61" s="64">
        <v>0</v>
      </c>
      <c r="AE61" s="64">
        <v>0</v>
      </c>
      <c r="AF61" s="64">
        <v>0</v>
      </c>
      <c r="AG61" s="64">
        <f t="shared" si="34"/>
        <v>0</v>
      </c>
      <c r="AH61" s="211">
        <f t="shared" si="35"/>
        <v>0</v>
      </c>
      <c r="AI61" s="75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808">
        <f t="shared" si="36"/>
        <v>0</v>
      </c>
      <c r="AP61" s="809">
        <f t="shared" si="37"/>
        <v>0</v>
      </c>
      <c r="AQ61" s="814">
        <v>0</v>
      </c>
      <c r="AR61" s="815">
        <v>0</v>
      </c>
      <c r="AS61" s="815">
        <v>0</v>
      </c>
      <c r="AT61" s="815">
        <v>0</v>
      </c>
      <c r="AU61" s="815">
        <v>0</v>
      </c>
      <c r="AV61" s="815">
        <v>0</v>
      </c>
      <c r="AW61" s="808">
        <f t="shared" si="38"/>
        <v>0</v>
      </c>
      <c r="AX61" s="211">
        <f t="shared" si="39"/>
        <v>0</v>
      </c>
      <c r="AY61" s="346">
        <v>0</v>
      </c>
      <c r="AZ61" s="343">
        <v>0</v>
      </c>
      <c r="BA61" s="343">
        <v>0</v>
      </c>
      <c r="BB61" s="343">
        <v>0</v>
      </c>
      <c r="BC61" s="343">
        <v>0</v>
      </c>
      <c r="BD61" s="343">
        <v>0</v>
      </c>
      <c r="BE61" s="808">
        <f t="shared" si="40"/>
        <v>0</v>
      </c>
      <c r="BF61" s="211">
        <f t="shared" si="41"/>
        <v>0</v>
      </c>
      <c r="BG61" s="814">
        <v>0</v>
      </c>
      <c r="BH61" s="815">
        <v>0</v>
      </c>
      <c r="BI61" s="815">
        <v>0</v>
      </c>
      <c r="BJ61" s="815">
        <v>0</v>
      </c>
      <c r="BK61" s="815">
        <v>0</v>
      </c>
      <c r="BL61" s="815">
        <v>0</v>
      </c>
      <c r="BM61" s="808">
        <f t="shared" si="42"/>
        <v>0</v>
      </c>
      <c r="BN61" s="211">
        <f t="shared" si="43"/>
        <v>0</v>
      </c>
      <c r="BO61" s="75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808">
        <f t="shared" si="44"/>
        <v>0</v>
      </c>
      <c r="BV61" s="211">
        <f t="shared" si="45"/>
        <v>0</v>
      </c>
      <c r="BW61" s="755">
        <v>0</v>
      </c>
      <c r="BX61" s="345">
        <v>0</v>
      </c>
      <c r="BY61" s="345">
        <v>0</v>
      </c>
      <c r="BZ61" s="345">
        <v>0</v>
      </c>
      <c r="CA61" s="345">
        <v>0</v>
      </c>
      <c r="CB61" s="345">
        <v>0</v>
      </c>
      <c r="CC61" s="808">
        <f t="shared" si="46"/>
        <v>0</v>
      </c>
      <c r="CD61" s="211">
        <f t="shared" si="47"/>
        <v>0</v>
      </c>
      <c r="CE61" s="346">
        <v>0</v>
      </c>
      <c r="CF61" s="343">
        <v>0</v>
      </c>
      <c r="CG61" s="343">
        <v>0</v>
      </c>
      <c r="CH61" s="343">
        <v>0</v>
      </c>
      <c r="CI61" s="343">
        <v>0</v>
      </c>
      <c r="CJ61" s="343">
        <v>0</v>
      </c>
      <c r="CK61" s="808">
        <f t="shared" si="48"/>
        <v>0</v>
      </c>
      <c r="CL61" s="211">
        <f t="shared" si="49"/>
        <v>0</v>
      </c>
      <c r="CM61" s="346">
        <v>0</v>
      </c>
      <c r="CN61" s="343">
        <v>0</v>
      </c>
      <c r="CO61" s="343">
        <v>0</v>
      </c>
      <c r="CP61" s="343">
        <v>0</v>
      </c>
      <c r="CQ61" s="343">
        <v>0</v>
      </c>
      <c r="CR61" s="343">
        <v>0</v>
      </c>
      <c r="CS61" s="808">
        <f t="shared" si="50"/>
        <v>0</v>
      </c>
      <c r="CT61" s="211">
        <f t="shared" si="51"/>
        <v>0</v>
      </c>
      <c r="CU61" s="346">
        <v>0</v>
      </c>
      <c r="CV61" s="343">
        <v>0</v>
      </c>
      <c r="CW61" s="343">
        <v>0</v>
      </c>
      <c r="CX61" s="343">
        <v>0</v>
      </c>
      <c r="CY61" s="343">
        <v>0</v>
      </c>
      <c r="CZ61" s="343">
        <v>0</v>
      </c>
      <c r="DA61" s="808">
        <f t="shared" si="52"/>
        <v>0</v>
      </c>
      <c r="DB61" s="211">
        <f t="shared" si="53"/>
        <v>0</v>
      </c>
      <c r="DC61" s="346">
        <v>0</v>
      </c>
      <c r="DD61" s="343">
        <v>0</v>
      </c>
      <c r="DE61" s="343">
        <v>0</v>
      </c>
      <c r="DF61" s="343">
        <v>0</v>
      </c>
      <c r="DG61" s="343"/>
      <c r="DH61" s="343">
        <v>0</v>
      </c>
      <c r="DI61" s="808">
        <f t="shared" si="54"/>
        <v>0</v>
      </c>
      <c r="DJ61" s="211">
        <f t="shared" si="55"/>
        <v>0</v>
      </c>
      <c r="DK61" s="346">
        <v>0</v>
      </c>
      <c r="DL61" s="343">
        <v>0</v>
      </c>
      <c r="DM61" s="343">
        <v>0</v>
      </c>
      <c r="DN61" s="343">
        <v>0</v>
      </c>
      <c r="DO61" s="343">
        <v>0</v>
      </c>
      <c r="DP61" s="343">
        <v>0</v>
      </c>
      <c r="DQ61" s="808">
        <f t="shared" si="56"/>
        <v>0</v>
      </c>
      <c r="DR61" s="211">
        <f t="shared" si="57"/>
        <v>0</v>
      </c>
      <c r="DS61" s="346">
        <v>0</v>
      </c>
      <c r="DT61" s="343">
        <v>0</v>
      </c>
      <c r="DU61" s="343">
        <v>0</v>
      </c>
      <c r="DV61" s="343">
        <v>0</v>
      </c>
      <c r="DW61" s="343">
        <v>0</v>
      </c>
      <c r="DX61" s="343">
        <v>0</v>
      </c>
      <c r="DY61" s="808">
        <f t="shared" si="58"/>
        <v>0</v>
      </c>
      <c r="DZ61" s="211">
        <f t="shared" si="59"/>
        <v>0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0</v>
      </c>
      <c r="EG61" s="808">
        <f t="shared" si="60"/>
        <v>0</v>
      </c>
      <c r="EH61" s="211">
        <f t="shared" si="61"/>
        <v>0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2"/>
        <v>0</v>
      </c>
      <c r="EP61" s="211">
        <f t="shared" si="63"/>
        <v>0</v>
      </c>
      <c r="EQ61" s="346">
        <v>0</v>
      </c>
      <c r="ER61" s="343">
        <v>0</v>
      </c>
      <c r="ES61" s="343">
        <v>0</v>
      </c>
      <c r="ET61" s="343">
        <v>0</v>
      </c>
      <c r="EU61" s="343">
        <v>0</v>
      </c>
      <c r="EV61" s="343">
        <v>0</v>
      </c>
      <c r="EW61" s="808">
        <f t="shared" si="64"/>
        <v>0</v>
      </c>
      <c r="EX61" s="211">
        <f t="shared" si="65"/>
        <v>0</v>
      </c>
      <c r="EY61" s="346">
        <v>0</v>
      </c>
      <c r="EZ61" s="343">
        <v>0</v>
      </c>
      <c r="FA61" s="343">
        <v>0</v>
      </c>
      <c r="FB61" s="343">
        <v>0</v>
      </c>
      <c r="FC61" s="343">
        <v>0</v>
      </c>
      <c r="FD61" s="343">
        <v>0</v>
      </c>
      <c r="FE61" s="808">
        <f t="shared" si="66"/>
        <v>0</v>
      </c>
      <c r="FF61" s="211">
        <f t="shared" si="67"/>
        <v>0</v>
      </c>
      <c r="FG61" s="755">
        <v>0</v>
      </c>
      <c r="FH61" s="345">
        <v>0</v>
      </c>
      <c r="FI61" s="345">
        <v>0</v>
      </c>
      <c r="FJ61" s="345">
        <v>0</v>
      </c>
      <c r="FK61" s="345">
        <v>0</v>
      </c>
      <c r="FL61" s="345">
        <v>0</v>
      </c>
      <c r="FM61" s="808">
        <f t="shared" si="68"/>
        <v>0</v>
      </c>
      <c r="FN61" s="211">
        <f t="shared" si="69"/>
        <v>0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0</v>
      </c>
      <c r="FU61" s="808">
        <f t="shared" si="70"/>
        <v>0</v>
      </c>
      <c r="FV61" s="211">
        <f t="shared" si="71"/>
        <v>0</v>
      </c>
      <c r="FW61" s="346">
        <v>0</v>
      </c>
      <c r="FX61" s="343">
        <v>0</v>
      </c>
      <c r="FY61" s="343">
        <v>0</v>
      </c>
      <c r="FZ61" s="343">
        <v>0</v>
      </c>
      <c r="GA61" s="343">
        <v>0</v>
      </c>
      <c r="GB61" s="343">
        <v>314</v>
      </c>
      <c r="GC61" s="808">
        <f t="shared" si="72"/>
        <v>314</v>
      </c>
      <c r="GD61" s="211">
        <f t="shared" si="73"/>
        <v>52.333333333333336</v>
      </c>
      <c r="GE61" s="346">
        <v>0</v>
      </c>
      <c r="GF61" s="343">
        <v>0</v>
      </c>
      <c r="GG61" s="343">
        <v>0</v>
      </c>
      <c r="GH61" s="343">
        <v>0</v>
      </c>
      <c r="GI61" s="343">
        <v>0</v>
      </c>
      <c r="GJ61" s="343">
        <v>0</v>
      </c>
      <c r="GK61" s="808">
        <f t="shared" si="74"/>
        <v>0</v>
      </c>
      <c r="GL61" s="211">
        <f t="shared" si="75"/>
        <v>0</v>
      </c>
      <c r="GM61" s="755">
        <v>0</v>
      </c>
      <c r="GN61" s="345">
        <v>0</v>
      </c>
      <c r="GO61" s="345">
        <v>0</v>
      </c>
      <c r="GP61" s="345">
        <v>0</v>
      </c>
      <c r="GQ61" s="345">
        <v>0</v>
      </c>
      <c r="GR61" s="345">
        <v>0</v>
      </c>
      <c r="GS61" s="872">
        <f t="shared" si="76"/>
        <v>0</v>
      </c>
      <c r="GT61" s="873">
        <f t="shared" si="77"/>
        <v>0</v>
      </c>
      <c r="GU61" s="346">
        <v>0</v>
      </c>
      <c r="GV61" s="343">
        <v>0</v>
      </c>
      <c r="GW61" s="343">
        <v>0</v>
      </c>
      <c r="GX61" s="343">
        <v>0</v>
      </c>
      <c r="GY61" s="343">
        <v>0</v>
      </c>
      <c r="GZ61" s="343">
        <v>0</v>
      </c>
      <c r="HA61" s="872">
        <f t="shared" si="78"/>
        <v>0</v>
      </c>
      <c r="HB61" s="873">
        <f t="shared" si="79"/>
        <v>0</v>
      </c>
      <c r="HC61" s="346">
        <v>0</v>
      </c>
      <c r="HD61" s="343">
        <v>0</v>
      </c>
      <c r="HE61" s="343">
        <v>0</v>
      </c>
      <c r="HF61" s="343">
        <v>0</v>
      </c>
      <c r="HG61" s="343">
        <v>0</v>
      </c>
      <c r="HH61" s="343">
        <v>0</v>
      </c>
      <c r="HI61" s="872">
        <f t="shared" si="80"/>
        <v>0</v>
      </c>
      <c r="HJ61" s="873">
        <f t="shared" si="81"/>
        <v>0</v>
      </c>
      <c r="HK61" s="346">
        <v>0</v>
      </c>
      <c r="HL61" s="343">
        <v>0</v>
      </c>
      <c r="HM61" s="343">
        <v>0</v>
      </c>
      <c r="HN61" s="343">
        <v>0</v>
      </c>
      <c r="HO61" s="343">
        <v>0</v>
      </c>
      <c r="HP61" s="343">
        <v>0</v>
      </c>
      <c r="HQ61" s="872">
        <f t="shared" si="82"/>
        <v>0</v>
      </c>
      <c r="HR61" s="873">
        <f t="shared" si="83"/>
        <v>0</v>
      </c>
      <c r="HS61" s="346">
        <v>0</v>
      </c>
      <c r="HT61" s="343">
        <v>0</v>
      </c>
      <c r="HU61" s="343"/>
      <c r="HV61" s="343"/>
      <c r="HW61" s="343"/>
      <c r="HX61" s="343"/>
      <c r="HY61" s="872">
        <f t="shared" si="84"/>
        <v>0</v>
      </c>
      <c r="HZ61" s="873">
        <f t="shared" si="85"/>
        <v>0</v>
      </c>
    </row>
    <row r="62" spans="1:234" s="323" customFormat="1" ht="15" customHeight="1" x14ac:dyDescent="0.2">
      <c r="A62" s="21">
        <v>51</v>
      </c>
      <c r="B62" s="21" t="s">
        <v>99</v>
      </c>
      <c r="C62" s="275" t="s">
        <v>100</v>
      </c>
      <c r="D62" s="21">
        <v>25</v>
      </c>
      <c r="E62" s="24"/>
      <c r="F62" s="24">
        <v>2454</v>
      </c>
      <c r="G62" s="24"/>
      <c r="H62" s="24"/>
      <c r="I62" s="24"/>
      <c r="J62" s="360">
        <f>SUMIF(SUMPK!$B:$B,$B:$B,SUMPK!$O:$O)</f>
        <v>0</v>
      </c>
      <c r="K62" s="24"/>
      <c r="L62" s="24">
        <f t="shared" si="86"/>
        <v>2454</v>
      </c>
      <c r="M62" s="15">
        <f t="shared" si="27"/>
        <v>2454</v>
      </c>
      <c r="N62" s="15">
        <v>0</v>
      </c>
      <c r="O62" s="276">
        <f t="shared" si="28"/>
        <v>0</v>
      </c>
      <c r="P62" s="15">
        <v>90</v>
      </c>
      <c r="Q62" s="711">
        <f t="shared" si="29"/>
        <v>933.33333333333337</v>
      </c>
      <c r="R62" s="276">
        <f t="shared" si="30"/>
        <v>163.6</v>
      </c>
      <c r="S62" s="712">
        <f t="shared" si="31"/>
        <v>215.38461538461539</v>
      </c>
      <c r="T62" s="713">
        <v>5600</v>
      </c>
      <c r="U62" s="276">
        <f t="shared" si="92"/>
        <v>11.393571428571429</v>
      </c>
      <c r="V62" s="278"/>
      <c r="W62" s="276">
        <f t="shared" si="33"/>
        <v>11.393571428571429</v>
      </c>
      <c r="X62" s="279">
        <f t="shared" si="0"/>
        <v>1</v>
      </c>
      <c r="Y62" s="305">
        <v>17</v>
      </c>
      <c r="Z62" s="721"/>
      <c r="AA62" s="244">
        <v>0</v>
      </c>
      <c r="AB62" s="64">
        <v>0</v>
      </c>
      <c r="AC62" s="64">
        <v>1331</v>
      </c>
      <c r="AD62" s="64">
        <v>0</v>
      </c>
      <c r="AE62" s="64">
        <v>0</v>
      </c>
      <c r="AF62" s="64">
        <v>0</v>
      </c>
      <c r="AG62" s="64">
        <f t="shared" si="34"/>
        <v>1331</v>
      </c>
      <c r="AH62" s="211">
        <f t="shared" si="35"/>
        <v>221.83333333333334</v>
      </c>
      <c r="AI62" s="755">
        <v>0</v>
      </c>
      <c r="AJ62" s="345">
        <v>1617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6"/>
        <v>1617</v>
      </c>
      <c r="AP62" s="809">
        <f t="shared" si="37"/>
        <v>269.5</v>
      </c>
      <c r="AQ62" s="814">
        <v>0</v>
      </c>
      <c r="AR62" s="815">
        <v>0</v>
      </c>
      <c r="AS62" s="815">
        <v>312</v>
      </c>
      <c r="AT62" s="815">
        <v>0</v>
      </c>
      <c r="AU62" s="815">
        <v>0</v>
      </c>
      <c r="AV62" s="815">
        <v>0</v>
      </c>
      <c r="AW62" s="808">
        <f t="shared" si="38"/>
        <v>312</v>
      </c>
      <c r="AX62" s="211">
        <f t="shared" si="39"/>
        <v>52</v>
      </c>
      <c r="AY62" s="346">
        <v>0</v>
      </c>
      <c r="AZ62" s="343">
        <v>0</v>
      </c>
      <c r="BA62" s="343">
        <v>967</v>
      </c>
      <c r="BB62" s="343">
        <v>0</v>
      </c>
      <c r="BC62" s="343">
        <v>0</v>
      </c>
      <c r="BD62" s="343">
        <v>0</v>
      </c>
      <c r="BE62" s="808">
        <f t="shared" si="40"/>
        <v>967</v>
      </c>
      <c r="BF62" s="211">
        <f t="shared" si="41"/>
        <v>161.16666666666666</v>
      </c>
      <c r="BG62" s="814">
        <v>0</v>
      </c>
      <c r="BH62" s="815">
        <v>0</v>
      </c>
      <c r="BI62" s="815">
        <v>0</v>
      </c>
      <c r="BJ62" s="815">
        <v>972</v>
      </c>
      <c r="BK62" s="815">
        <v>0</v>
      </c>
      <c r="BL62" s="815">
        <v>0</v>
      </c>
      <c r="BM62" s="808">
        <f t="shared" si="42"/>
        <v>972</v>
      </c>
      <c r="BN62" s="211">
        <f t="shared" si="43"/>
        <v>162</v>
      </c>
      <c r="BO62" s="755">
        <v>0</v>
      </c>
      <c r="BP62" s="345">
        <v>0</v>
      </c>
      <c r="BQ62" s="345">
        <v>0</v>
      </c>
      <c r="BR62" s="345">
        <v>654</v>
      </c>
      <c r="BS62" s="345">
        <v>0</v>
      </c>
      <c r="BT62" s="345">
        <v>0</v>
      </c>
      <c r="BU62" s="808">
        <f t="shared" si="44"/>
        <v>654</v>
      </c>
      <c r="BV62" s="211">
        <f t="shared" si="45"/>
        <v>109</v>
      </c>
      <c r="BW62" s="755">
        <v>0</v>
      </c>
      <c r="BX62" s="345">
        <v>0</v>
      </c>
      <c r="BY62" s="345">
        <v>0</v>
      </c>
      <c r="BZ62" s="345">
        <v>1294</v>
      </c>
      <c r="CA62" s="345">
        <v>0</v>
      </c>
      <c r="CB62" s="345">
        <v>0</v>
      </c>
      <c r="CC62" s="808">
        <f t="shared" si="46"/>
        <v>1294</v>
      </c>
      <c r="CD62" s="211">
        <f t="shared" si="47"/>
        <v>215.66666666666666</v>
      </c>
      <c r="CE62" s="346">
        <v>0</v>
      </c>
      <c r="CF62" s="343">
        <v>0</v>
      </c>
      <c r="CG62" s="343">
        <v>0</v>
      </c>
      <c r="CH62" s="343">
        <v>0</v>
      </c>
      <c r="CI62" s="343">
        <v>963</v>
      </c>
      <c r="CJ62" s="343">
        <v>0</v>
      </c>
      <c r="CK62" s="808">
        <f t="shared" si="48"/>
        <v>963</v>
      </c>
      <c r="CL62" s="211">
        <f t="shared" si="49"/>
        <v>160.5</v>
      </c>
      <c r="CM62" s="346">
        <v>0</v>
      </c>
      <c r="CN62" s="343">
        <v>0</v>
      </c>
      <c r="CO62" s="343">
        <v>597</v>
      </c>
      <c r="CP62" s="343">
        <v>0</v>
      </c>
      <c r="CQ62" s="343">
        <v>334</v>
      </c>
      <c r="CR62" s="343">
        <v>0</v>
      </c>
      <c r="CS62" s="808">
        <f t="shared" si="50"/>
        <v>931</v>
      </c>
      <c r="CT62" s="211">
        <f t="shared" si="51"/>
        <v>155.16666666666666</v>
      </c>
      <c r="CU62" s="346">
        <v>0</v>
      </c>
      <c r="CV62" s="343">
        <v>0</v>
      </c>
      <c r="CW62" s="343">
        <v>0</v>
      </c>
      <c r="CX62" s="343">
        <v>0</v>
      </c>
      <c r="CY62" s="343">
        <v>654</v>
      </c>
      <c r="CZ62" s="343">
        <v>0</v>
      </c>
      <c r="DA62" s="808">
        <f t="shared" si="52"/>
        <v>654</v>
      </c>
      <c r="DB62" s="211">
        <f t="shared" si="53"/>
        <v>109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1301</v>
      </c>
      <c r="DI62" s="808">
        <f t="shared" si="54"/>
        <v>1301</v>
      </c>
      <c r="DJ62" s="211">
        <f t="shared" si="55"/>
        <v>216.83333333333334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6"/>
        <v>0</v>
      </c>
      <c r="DR62" s="211">
        <f t="shared" si="57"/>
        <v>0</v>
      </c>
      <c r="DS62" s="346">
        <v>0</v>
      </c>
      <c r="DT62" s="343">
        <v>1287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8"/>
        <v>1287</v>
      </c>
      <c r="DZ62" s="211">
        <f t="shared" si="59"/>
        <v>214.5</v>
      </c>
      <c r="EA62" s="346">
        <v>550</v>
      </c>
      <c r="EB62" s="343">
        <v>87</v>
      </c>
      <c r="EC62" s="343"/>
      <c r="ED62" s="343">
        <v>0</v>
      </c>
      <c r="EE62" s="343">
        <v>0</v>
      </c>
      <c r="EF62" s="343">
        <v>968</v>
      </c>
      <c r="EG62" s="808">
        <f t="shared" si="60"/>
        <v>1605</v>
      </c>
      <c r="EH62" s="211">
        <f t="shared" si="61"/>
        <v>267.5</v>
      </c>
      <c r="EI62" s="346">
        <v>0</v>
      </c>
      <c r="EJ62" s="343">
        <v>0</v>
      </c>
      <c r="EK62" s="343">
        <v>1521</v>
      </c>
      <c r="EL62" s="343">
        <v>0</v>
      </c>
      <c r="EM62" s="343">
        <v>0</v>
      </c>
      <c r="EN62" s="343">
        <v>0</v>
      </c>
      <c r="EO62" s="808">
        <f t="shared" si="62"/>
        <v>1521</v>
      </c>
      <c r="EP62" s="211">
        <f t="shared" si="63"/>
        <v>253.5</v>
      </c>
      <c r="EQ62" s="346">
        <v>0</v>
      </c>
      <c r="ER62" s="343">
        <v>0</v>
      </c>
      <c r="ES62" s="343">
        <v>0</v>
      </c>
      <c r="ET62" s="343">
        <v>0</v>
      </c>
      <c r="EU62" s="343">
        <v>1276</v>
      </c>
      <c r="EV62" s="343">
        <v>0</v>
      </c>
      <c r="EW62" s="808">
        <f t="shared" si="64"/>
        <v>1276</v>
      </c>
      <c r="EX62" s="211">
        <f t="shared" si="65"/>
        <v>212.66666666666666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6"/>
        <v>0</v>
      </c>
      <c r="FF62" s="211">
        <f t="shared" si="67"/>
        <v>0</v>
      </c>
      <c r="FG62" s="755">
        <v>120</v>
      </c>
      <c r="FH62" s="345">
        <v>1604</v>
      </c>
      <c r="FI62" s="345">
        <v>0</v>
      </c>
      <c r="FJ62" s="345">
        <v>0</v>
      </c>
      <c r="FK62" s="345">
        <v>1286</v>
      </c>
      <c r="FL62" s="345">
        <v>0</v>
      </c>
      <c r="FM62" s="808">
        <f t="shared" si="68"/>
        <v>3010</v>
      </c>
      <c r="FN62" s="211">
        <f t="shared" si="69"/>
        <v>501.66666666666669</v>
      </c>
      <c r="FO62" s="346">
        <v>0</v>
      </c>
      <c r="FP62" s="343">
        <v>0</v>
      </c>
      <c r="FQ62" s="343">
        <v>0</v>
      </c>
      <c r="FR62" s="343">
        <v>0</v>
      </c>
      <c r="FS62" s="343">
        <v>1349</v>
      </c>
      <c r="FT62" s="343">
        <v>0</v>
      </c>
      <c r="FU62" s="808">
        <f t="shared" si="70"/>
        <v>1349</v>
      </c>
      <c r="FV62" s="211">
        <f t="shared" si="71"/>
        <v>224.83333333333334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0</v>
      </c>
      <c r="GC62" s="808">
        <f t="shared" si="72"/>
        <v>0</v>
      </c>
      <c r="GD62" s="211">
        <f t="shared" si="73"/>
        <v>0</v>
      </c>
      <c r="GE62" s="346">
        <v>1470</v>
      </c>
      <c r="GF62" s="343">
        <v>0</v>
      </c>
      <c r="GG62" s="343">
        <v>0</v>
      </c>
      <c r="GH62" s="343">
        <v>0</v>
      </c>
      <c r="GI62" s="343">
        <v>0</v>
      </c>
      <c r="GJ62" s="343">
        <v>220</v>
      </c>
      <c r="GK62" s="808">
        <f t="shared" si="74"/>
        <v>1690</v>
      </c>
      <c r="GL62" s="211">
        <f t="shared" si="75"/>
        <v>281.66666666666669</v>
      </c>
      <c r="GM62" s="755">
        <v>758</v>
      </c>
      <c r="GN62" s="345">
        <v>0</v>
      </c>
      <c r="GO62" s="345">
        <v>0</v>
      </c>
      <c r="GP62" s="345">
        <v>0</v>
      </c>
      <c r="GQ62" s="345">
        <v>961</v>
      </c>
      <c r="GR62" s="345">
        <v>0</v>
      </c>
      <c r="GS62" s="872">
        <f t="shared" si="76"/>
        <v>1719</v>
      </c>
      <c r="GT62" s="873">
        <f t="shared" si="77"/>
        <v>286.5</v>
      </c>
      <c r="GU62" s="346">
        <v>0</v>
      </c>
      <c r="GV62" s="343">
        <v>942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8"/>
        <v>942</v>
      </c>
      <c r="HB62" s="873">
        <f t="shared" si="79"/>
        <v>157</v>
      </c>
      <c r="HC62" s="346">
        <v>550</v>
      </c>
      <c r="HD62" s="343">
        <v>397</v>
      </c>
      <c r="HE62" s="343">
        <v>0</v>
      </c>
      <c r="HF62" s="343">
        <v>0</v>
      </c>
      <c r="HG62" s="343">
        <v>1958</v>
      </c>
      <c r="HH62" s="343">
        <v>0</v>
      </c>
      <c r="HI62" s="872">
        <f t="shared" si="80"/>
        <v>2905</v>
      </c>
      <c r="HJ62" s="873">
        <f t="shared" si="81"/>
        <v>484.16666666666669</v>
      </c>
      <c r="HK62" s="346">
        <v>0</v>
      </c>
      <c r="HL62" s="343">
        <v>0</v>
      </c>
      <c r="HM62" s="343">
        <v>0</v>
      </c>
      <c r="HN62" s="343">
        <v>0</v>
      </c>
      <c r="HO62" s="343">
        <v>0</v>
      </c>
      <c r="HP62" s="343">
        <v>0</v>
      </c>
      <c r="HQ62" s="872">
        <f t="shared" si="82"/>
        <v>0</v>
      </c>
      <c r="HR62" s="873">
        <f t="shared" si="83"/>
        <v>0</v>
      </c>
      <c r="HS62" s="346">
        <v>0</v>
      </c>
      <c r="HT62" s="343">
        <v>966</v>
      </c>
      <c r="HU62" s="343"/>
      <c r="HV62" s="343"/>
      <c r="HW62" s="343"/>
      <c r="HX62" s="343"/>
      <c r="HY62" s="872">
        <f t="shared" si="84"/>
        <v>966</v>
      </c>
      <c r="HZ62" s="873">
        <f t="shared" si="85"/>
        <v>161</v>
      </c>
    </row>
    <row r="63" spans="1:234" s="323" customFormat="1" ht="15" customHeight="1" x14ac:dyDescent="0.2">
      <c r="A63" s="21">
        <v>52</v>
      </c>
      <c r="B63" s="21" t="s">
        <v>101</v>
      </c>
      <c r="C63" s="275" t="s">
        <v>102</v>
      </c>
      <c r="D63" s="21">
        <v>25</v>
      </c>
      <c r="E63" s="24"/>
      <c r="F63" s="24">
        <v>2070</v>
      </c>
      <c r="G63" s="24"/>
      <c r="H63" s="24">
        <v>1874</v>
      </c>
      <c r="I63" s="24"/>
      <c r="J63" s="360">
        <f>SUMIF(SUMPK!$B:$B,$B:$B,SUMPK!$O:$O)</f>
        <v>0</v>
      </c>
      <c r="K63" s="24"/>
      <c r="L63" s="24">
        <f t="shared" si="86"/>
        <v>3944</v>
      </c>
      <c r="M63" s="15">
        <f t="shared" si="27"/>
        <v>3944</v>
      </c>
      <c r="N63" s="15">
        <v>29.333333333333332</v>
      </c>
      <c r="O63" s="276">
        <f t="shared" si="28"/>
        <v>134.45454545454547</v>
      </c>
      <c r="P63" s="15">
        <v>94.166666666666671</v>
      </c>
      <c r="Q63" s="711">
        <f t="shared" si="29"/>
        <v>533.33333333333337</v>
      </c>
      <c r="R63" s="276">
        <f t="shared" si="30"/>
        <v>251.29911504424774</v>
      </c>
      <c r="S63" s="712">
        <f t="shared" si="31"/>
        <v>123.07692307692308</v>
      </c>
      <c r="T63" s="713">
        <v>3200</v>
      </c>
      <c r="U63" s="276">
        <f t="shared" si="92"/>
        <v>32.045000000000002</v>
      </c>
      <c r="V63" s="278"/>
      <c r="W63" s="276">
        <f t="shared" si="33"/>
        <v>32.045000000000002</v>
      </c>
      <c r="X63" s="279">
        <f t="shared" si="0"/>
        <v>1</v>
      </c>
      <c r="Y63" s="305">
        <v>15</v>
      </c>
      <c r="Z63" s="721"/>
      <c r="AA63" s="244">
        <v>0</v>
      </c>
      <c r="AB63" s="64">
        <v>0</v>
      </c>
      <c r="AC63" s="64">
        <v>0</v>
      </c>
      <c r="AD63" s="64">
        <v>0</v>
      </c>
      <c r="AE63" s="64">
        <v>0</v>
      </c>
      <c r="AF63" s="64">
        <v>0</v>
      </c>
      <c r="AG63" s="64">
        <f t="shared" si="34"/>
        <v>0</v>
      </c>
      <c r="AH63" s="211">
        <f t="shared" si="35"/>
        <v>0</v>
      </c>
      <c r="AI63" s="755">
        <v>577</v>
      </c>
      <c r="AJ63" s="345">
        <v>0</v>
      </c>
      <c r="AK63" s="345">
        <v>674</v>
      </c>
      <c r="AL63" s="345">
        <v>0</v>
      </c>
      <c r="AM63" s="345">
        <v>0</v>
      </c>
      <c r="AN63" s="345">
        <v>0</v>
      </c>
      <c r="AO63" s="808">
        <f t="shared" si="36"/>
        <v>1251</v>
      </c>
      <c r="AP63" s="809">
        <f t="shared" si="37"/>
        <v>208.5</v>
      </c>
      <c r="AQ63" s="814">
        <v>0</v>
      </c>
      <c r="AR63" s="815">
        <v>452</v>
      </c>
      <c r="AS63" s="815">
        <v>282</v>
      </c>
      <c r="AT63" s="815">
        <v>0</v>
      </c>
      <c r="AU63" s="815">
        <v>638</v>
      </c>
      <c r="AV63" s="815">
        <v>0</v>
      </c>
      <c r="AW63" s="808">
        <f t="shared" si="38"/>
        <v>1372</v>
      </c>
      <c r="AX63" s="211">
        <f t="shared" si="39"/>
        <v>228.66666666666666</v>
      </c>
      <c r="AY63" s="346">
        <v>0</v>
      </c>
      <c r="AZ63" s="343">
        <v>0</v>
      </c>
      <c r="BA63" s="343">
        <v>0</v>
      </c>
      <c r="BB63" s="343">
        <v>0</v>
      </c>
      <c r="BC63" s="343">
        <v>295</v>
      </c>
      <c r="BD63" s="343">
        <v>0</v>
      </c>
      <c r="BE63" s="808">
        <f t="shared" si="40"/>
        <v>295</v>
      </c>
      <c r="BF63" s="211">
        <f t="shared" si="41"/>
        <v>49.166666666666664</v>
      </c>
      <c r="BG63" s="814">
        <v>0</v>
      </c>
      <c r="BH63" s="815">
        <v>0</v>
      </c>
      <c r="BI63" s="815">
        <v>647</v>
      </c>
      <c r="BJ63" s="815">
        <v>0</v>
      </c>
      <c r="BK63" s="815">
        <v>0</v>
      </c>
      <c r="BL63" s="815">
        <v>0</v>
      </c>
      <c r="BM63" s="808">
        <f t="shared" si="42"/>
        <v>647</v>
      </c>
      <c r="BN63" s="211">
        <f t="shared" si="43"/>
        <v>107.83333333333333</v>
      </c>
      <c r="BO63" s="755">
        <v>0</v>
      </c>
      <c r="BP63" s="345">
        <v>0</v>
      </c>
      <c r="BQ63" s="345">
        <v>0</v>
      </c>
      <c r="BR63" s="345">
        <v>0</v>
      </c>
      <c r="BS63" s="345">
        <v>625</v>
      </c>
      <c r="BT63" s="345">
        <v>0</v>
      </c>
      <c r="BU63" s="808">
        <f t="shared" si="44"/>
        <v>625</v>
      </c>
      <c r="BV63" s="211">
        <f t="shared" si="45"/>
        <v>104.16666666666667</v>
      </c>
      <c r="BW63" s="755">
        <v>0</v>
      </c>
      <c r="BX63" s="345">
        <v>646</v>
      </c>
      <c r="BY63" s="345">
        <v>0</v>
      </c>
      <c r="BZ63" s="345">
        <v>95</v>
      </c>
      <c r="CA63" s="345">
        <v>0</v>
      </c>
      <c r="CB63" s="345">
        <v>0</v>
      </c>
      <c r="CC63" s="808">
        <f t="shared" si="46"/>
        <v>741</v>
      </c>
      <c r="CD63" s="211">
        <f t="shared" si="47"/>
        <v>123.5</v>
      </c>
      <c r="CE63" s="346">
        <v>0</v>
      </c>
      <c r="CF63" s="343">
        <v>0</v>
      </c>
      <c r="CG63" s="343">
        <v>0</v>
      </c>
      <c r="CH63" s="343">
        <v>330</v>
      </c>
      <c r="CI63" s="343">
        <v>0</v>
      </c>
      <c r="CJ63" s="343">
        <v>0</v>
      </c>
      <c r="CK63" s="808">
        <f t="shared" si="48"/>
        <v>330</v>
      </c>
      <c r="CL63" s="211">
        <f t="shared" si="49"/>
        <v>55</v>
      </c>
      <c r="CM63" s="346">
        <v>0</v>
      </c>
      <c r="CN63" s="343">
        <v>0</v>
      </c>
      <c r="CO63" s="343">
        <v>0</v>
      </c>
      <c r="CP63" s="343">
        <v>0</v>
      </c>
      <c r="CQ63" s="343">
        <v>480</v>
      </c>
      <c r="CR63" s="343">
        <v>0</v>
      </c>
      <c r="CS63" s="808">
        <f t="shared" si="50"/>
        <v>480</v>
      </c>
      <c r="CT63" s="211">
        <f t="shared" si="51"/>
        <v>80</v>
      </c>
      <c r="CU63" s="346">
        <v>0</v>
      </c>
      <c r="CV63" s="343">
        <v>0</v>
      </c>
      <c r="CW63" s="343">
        <v>337</v>
      </c>
      <c r="CX63" s="343">
        <v>0</v>
      </c>
      <c r="CY63" s="343">
        <v>0</v>
      </c>
      <c r="CZ63" s="343">
        <v>0</v>
      </c>
      <c r="DA63" s="808">
        <f t="shared" si="52"/>
        <v>337</v>
      </c>
      <c r="DB63" s="211">
        <f t="shared" si="53"/>
        <v>56.166666666666664</v>
      </c>
      <c r="DC63" s="346">
        <v>0</v>
      </c>
      <c r="DD63" s="343">
        <v>662</v>
      </c>
      <c r="DE63" s="343">
        <v>0</v>
      </c>
      <c r="DF63" s="343">
        <v>0</v>
      </c>
      <c r="DG63" s="343"/>
      <c r="DH63" s="343">
        <v>0</v>
      </c>
      <c r="DI63" s="808">
        <f t="shared" si="54"/>
        <v>662</v>
      </c>
      <c r="DJ63" s="211">
        <f t="shared" si="55"/>
        <v>110.33333333333333</v>
      </c>
      <c r="DK63" s="346">
        <v>242</v>
      </c>
      <c r="DL63" s="343">
        <v>0</v>
      </c>
      <c r="DM63" s="343">
        <v>0</v>
      </c>
      <c r="DN63" s="343">
        <v>0</v>
      </c>
      <c r="DO63" s="343">
        <v>606</v>
      </c>
      <c r="DP63" s="343">
        <v>0</v>
      </c>
      <c r="DQ63" s="808">
        <f t="shared" si="56"/>
        <v>848</v>
      </c>
      <c r="DR63" s="211">
        <f t="shared" si="57"/>
        <v>141.33333333333334</v>
      </c>
      <c r="DS63" s="346">
        <v>0</v>
      </c>
      <c r="DT63" s="343">
        <v>0</v>
      </c>
      <c r="DU63" s="343">
        <v>333</v>
      </c>
      <c r="DV63" s="343">
        <v>0</v>
      </c>
      <c r="DW63" s="343">
        <v>0</v>
      </c>
      <c r="DX63" s="343">
        <v>73</v>
      </c>
      <c r="DY63" s="808">
        <f t="shared" si="58"/>
        <v>406</v>
      </c>
      <c r="DZ63" s="211">
        <f t="shared" si="59"/>
        <v>67.666666666666671</v>
      </c>
      <c r="EA63" s="346">
        <v>0</v>
      </c>
      <c r="EB63" s="343">
        <v>0</v>
      </c>
      <c r="EC63" s="343"/>
      <c r="ED63" s="343">
        <v>0</v>
      </c>
      <c r="EE63" s="343">
        <v>322</v>
      </c>
      <c r="EF63" s="343">
        <v>0</v>
      </c>
      <c r="EG63" s="808">
        <f t="shared" si="60"/>
        <v>322</v>
      </c>
      <c r="EH63" s="211">
        <f t="shared" si="61"/>
        <v>53.666666666666664</v>
      </c>
      <c r="EI63" s="346">
        <v>0</v>
      </c>
      <c r="EJ63" s="343">
        <v>0</v>
      </c>
      <c r="EK63" s="343">
        <v>0</v>
      </c>
      <c r="EL63" s="343">
        <v>320</v>
      </c>
      <c r="EM63" s="343">
        <v>89</v>
      </c>
      <c r="EN63" s="343">
        <v>0</v>
      </c>
      <c r="EO63" s="808">
        <f t="shared" si="62"/>
        <v>409</v>
      </c>
      <c r="EP63" s="211">
        <f t="shared" si="63"/>
        <v>68.166666666666671</v>
      </c>
      <c r="EQ63" s="346">
        <v>0</v>
      </c>
      <c r="ER63" s="343">
        <v>0</v>
      </c>
      <c r="ES63" s="343">
        <v>0</v>
      </c>
      <c r="ET63" s="343">
        <v>0</v>
      </c>
      <c r="EU63" s="343">
        <v>306</v>
      </c>
      <c r="EV63" s="343">
        <v>0</v>
      </c>
      <c r="EW63" s="808">
        <f t="shared" si="64"/>
        <v>306</v>
      </c>
      <c r="EX63" s="211">
        <f t="shared" si="65"/>
        <v>51</v>
      </c>
      <c r="EY63" s="346">
        <v>0</v>
      </c>
      <c r="EZ63" s="343">
        <v>0</v>
      </c>
      <c r="FA63" s="343">
        <v>0</v>
      </c>
      <c r="FB63" s="343">
        <v>302</v>
      </c>
      <c r="FC63" s="343">
        <v>0</v>
      </c>
      <c r="FD63" s="343">
        <v>0</v>
      </c>
      <c r="FE63" s="808">
        <f t="shared" si="66"/>
        <v>302</v>
      </c>
      <c r="FF63" s="211">
        <f t="shared" si="67"/>
        <v>50.333333333333336</v>
      </c>
      <c r="FG63" s="755">
        <v>200</v>
      </c>
      <c r="FH63" s="345">
        <v>328</v>
      </c>
      <c r="FI63" s="345">
        <v>0</v>
      </c>
      <c r="FJ63" s="345">
        <v>608</v>
      </c>
      <c r="FK63" s="345">
        <v>0</v>
      </c>
      <c r="FL63" s="345">
        <v>0</v>
      </c>
      <c r="FM63" s="808">
        <f t="shared" si="68"/>
        <v>1136</v>
      </c>
      <c r="FN63" s="211">
        <f t="shared" si="69"/>
        <v>189.33333333333334</v>
      </c>
      <c r="FO63" s="346">
        <v>0</v>
      </c>
      <c r="FP63" s="343">
        <v>0</v>
      </c>
      <c r="FQ63" s="343">
        <v>0</v>
      </c>
      <c r="FR63" s="343">
        <v>0</v>
      </c>
      <c r="FS63" s="343">
        <v>0</v>
      </c>
      <c r="FT63" s="343">
        <v>0</v>
      </c>
      <c r="FU63" s="808">
        <f t="shared" si="70"/>
        <v>0</v>
      </c>
      <c r="FV63" s="211">
        <f t="shared" si="71"/>
        <v>0</v>
      </c>
      <c r="FW63" s="346">
        <v>0</v>
      </c>
      <c r="FX63" s="343">
        <v>398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2"/>
        <v>398</v>
      </c>
      <c r="GD63" s="211">
        <f t="shared" si="73"/>
        <v>66.333333333333329</v>
      </c>
      <c r="GE63" s="346">
        <v>0</v>
      </c>
      <c r="GF63" s="343">
        <v>0</v>
      </c>
      <c r="GG63" s="343">
        <v>0</v>
      </c>
      <c r="GH63" s="343">
        <v>240</v>
      </c>
      <c r="GI63" s="343">
        <v>0</v>
      </c>
      <c r="GJ63" s="343">
        <v>325</v>
      </c>
      <c r="GK63" s="808">
        <f t="shared" si="74"/>
        <v>565</v>
      </c>
      <c r="GL63" s="211">
        <f t="shared" si="75"/>
        <v>94.166666666666671</v>
      </c>
      <c r="GM63" s="755">
        <v>0</v>
      </c>
      <c r="GN63" s="345">
        <v>0</v>
      </c>
      <c r="GO63" s="345">
        <v>0</v>
      </c>
      <c r="GP63" s="345">
        <v>0</v>
      </c>
      <c r="GQ63" s="345">
        <v>0</v>
      </c>
      <c r="GR63" s="345">
        <v>257</v>
      </c>
      <c r="GS63" s="872">
        <f t="shared" si="76"/>
        <v>257</v>
      </c>
      <c r="GT63" s="873">
        <f t="shared" si="77"/>
        <v>42.833333333333336</v>
      </c>
      <c r="GU63" s="346">
        <v>0</v>
      </c>
      <c r="GV63" s="343">
        <v>0</v>
      </c>
      <c r="GW63" s="343">
        <v>0</v>
      </c>
      <c r="GX63" s="343">
        <v>310</v>
      </c>
      <c r="GY63" s="343">
        <v>0</v>
      </c>
      <c r="GZ63" s="343">
        <v>316</v>
      </c>
      <c r="HA63" s="872">
        <f t="shared" si="78"/>
        <v>626</v>
      </c>
      <c r="HB63" s="873">
        <f t="shared" si="79"/>
        <v>104.33333333333333</v>
      </c>
      <c r="HC63" s="346">
        <v>0</v>
      </c>
      <c r="HD63" s="343">
        <v>0</v>
      </c>
      <c r="HE63" s="343">
        <v>310</v>
      </c>
      <c r="HF63" s="343">
        <v>0</v>
      </c>
      <c r="HG63" s="343">
        <v>0</v>
      </c>
      <c r="HH63" s="343">
        <v>0</v>
      </c>
      <c r="HI63" s="872">
        <f t="shared" si="80"/>
        <v>310</v>
      </c>
      <c r="HJ63" s="873">
        <f t="shared" si="81"/>
        <v>51.666666666666664</v>
      </c>
      <c r="HK63" s="346">
        <v>0</v>
      </c>
      <c r="HL63" s="343">
        <v>0</v>
      </c>
      <c r="HM63" s="343">
        <v>176</v>
      </c>
      <c r="HN63" s="343">
        <v>0</v>
      </c>
      <c r="HO63" s="343">
        <v>0</v>
      </c>
      <c r="HP63" s="343">
        <v>0</v>
      </c>
      <c r="HQ63" s="872">
        <f t="shared" si="82"/>
        <v>176</v>
      </c>
      <c r="HR63" s="873">
        <f t="shared" si="83"/>
        <v>29.333333333333332</v>
      </c>
      <c r="HS63" s="346">
        <v>0</v>
      </c>
      <c r="HT63" s="343">
        <v>0</v>
      </c>
      <c r="HU63" s="343"/>
      <c r="HV63" s="343"/>
      <c r="HW63" s="343"/>
      <c r="HX63" s="343"/>
      <c r="HY63" s="872">
        <f t="shared" si="84"/>
        <v>0</v>
      </c>
      <c r="HZ63" s="873">
        <f t="shared" si="85"/>
        <v>0</v>
      </c>
    </row>
    <row r="64" spans="1:234" s="323" customFormat="1" ht="14.25" customHeight="1" x14ac:dyDescent="0.2">
      <c r="A64" s="21">
        <v>53</v>
      </c>
      <c r="B64" s="21" t="s">
        <v>103</v>
      </c>
      <c r="C64" s="275" t="s">
        <v>104</v>
      </c>
      <c r="D64" s="21">
        <v>25</v>
      </c>
      <c r="E64" s="24"/>
      <c r="F64" s="24">
        <v>10359</v>
      </c>
      <c r="G64" s="24"/>
      <c r="H64" s="24"/>
      <c r="I64" s="360"/>
      <c r="J64" s="360">
        <f>SUMIF(SUMPK!$B:$B,$B:$B,SUMPK!$O:$O)</f>
        <v>201</v>
      </c>
      <c r="K64" s="24"/>
      <c r="L64" s="24">
        <f>F64+H64-J64</f>
        <v>10158</v>
      </c>
      <c r="M64" s="15">
        <f t="shared" si="27"/>
        <v>10158</v>
      </c>
      <c r="N64" s="15">
        <v>741.16666666666663</v>
      </c>
      <c r="O64" s="276">
        <f t="shared" si="28"/>
        <v>13.705419383854284</v>
      </c>
      <c r="P64" s="15">
        <v>508.83333333333331</v>
      </c>
      <c r="Q64" s="711">
        <f t="shared" si="29"/>
        <v>3733.3333333333335</v>
      </c>
      <c r="R64" s="276">
        <f t="shared" si="30"/>
        <v>119.77988863413037</v>
      </c>
      <c r="S64" s="712">
        <f t="shared" si="31"/>
        <v>861.53846153846155</v>
      </c>
      <c r="T64" s="713">
        <v>22400</v>
      </c>
      <c r="U64" s="276">
        <f t="shared" si="92"/>
        <v>11.790535714285713</v>
      </c>
      <c r="V64" s="278"/>
      <c r="W64" s="276">
        <f t="shared" si="33"/>
        <v>11.790535714285713</v>
      </c>
      <c r="X64" s="279">
        <f t="shared" si="0"/>
        <v>1</v>
      </c>
      <c r="Y64" s="305">
        <v>13</v>
      </c>
      <c r="Z64" s="721"/>
      <c r="AA64" s="244">
        <v>1645</v>
      </c>
      <c r="AB64" s="64">
        <v>0</v>
      </c>
      <c r="AC64" s="64">
        <v>2062</v>
      </c>
      <c r="AD64" s="64">
        <v>0</v>
      </c>
      <c r="AE64" s="64">
        <v>0</v>
      </c>
      <c r="AF64" s="64">
        <v>3120</v>
      </c>
      <c r="AG64" s="64">
        <f t="shared" si="34"/>
        <v>6827</v>
      </c>
      <c r="AH64" s="211">
        <f t="shared" si="35"/>
        <v>1137.8333333333333</v>
      </c>
      <c r="AI64" s="755">
        <v>0</v>
      </c>
      <c r="AJ64" s="345">
        <v>2239</v>
      </c>
      <c r="AK64" s="345">
        <v>0</v>
      </c>
      <c r="AL64" s="345">
        <v>423</v>
      </c>
      <c r="AM64" s="345">
        <v>648</v>
      </c>
      <c r="AN64" s="345">
        <v>1807</v>
      </c>
      <c r="AO64" s="808">
        <f t="shared" si="36"/>
        <v>5117</v>
      </c>
      <c r="AP64" s="809">
        <f t="shared" si="37"/>
        <v>852.83333333333337</v>
      </c>
      <c r="AQ64" s="814">
        <v>0</v>
      </c>
      <c r="AR64" s="815">
        <v>3977</v>
      </c>
      <c r="AS64" s="815">
        <v>0</v>
      </c>
      <c r="AT64" s="815">
        <v>0</v>
      </c>
      <c r="AU64" s="815">
        <v>0</v>
      </c>
      <c r="AV64" s="815">
        <v>1805</v>
      </c>
      <c r="AW64" s="808">
        <f t="shared" si="38"/>
        <v>5782</v>
      </c>
      <c r="AX64" s="211">
        <f t="shared" si="39"/>
        <v>963.66666666666663</v>
      </c>
      <c r="AY64" s="346">
        <v>0</v>
      </c>
      <c r="AZ64" s="343">
        <v>911</v>
      </c>
      <c r="BA64" s="343">
        <v>0</v>
      </c>
      <c r="BB64" s="343">
        <v>3080</v>
      </c>
      <c r="BC64" s="343">
        <v>0</v>
      </c>
      <c r="BD64" s="343">
        <v>0</v>
      </c>
      <c r="BE64" s="808">
        <f t="shared" si="40"/>
        <v>3991</v>
      </c>
      <c r="BF64" s="211">
        <f t="shared" si="41"/>
        <v>665.16666666666663</v>
      </c>
      <c r="BG64" s="814">
        <v>0</v>
      </c>
      <c r="BH64" s="815">
        <v>1770</v>
      </c>
      <c r="BI64" s="815">
        <v>0</v>
      </c>
      <c r="BJ64" s="815">
        <v>0</v>
      </c>
      <c r="BK64" s="815">
        <v>3026</v>
      </c>
      <c r="BL64" s="815">
        <v>0</v>
      </c>
      <c r="BM64" s="808">
        <f t="shared" si="42"/>
        <v>4796</v>
      </c>
      <c r="BN64" s="211">
        <f t="shared" si="43"/>
        <v>799.33333333333337</v>
      </c>
      <c r="BO64" s="755">
        <v>0</v>
      </c>
      <c r="BP64" s="345">
        <v>1592</v>
      </c>
      <c r="BQ64" s="345">
        <v>0</v>
      </c>
      <c r="BR64" s="345">
        <v>0</v>
      </c>
      <c r="BS64" s="345">
        <v>1714</v>
      </c>
      <c r="BT64" s="345">
        <v>1457</v>
      </c>
      <c r="BU64" s="808">
        <f t="shared" si="44"/>
        <v>4763</v>
      </c>
      <c r="BV64" s="211">
        <f t="shared" si="45"/>
        <v>793.83333333333337</v>
      </c>
      <c r="BW64" s="755">
        <v>1887</v>
      </c>
      <c r="BX64" s="345">
        <v>0</v>
      </c>
      <c r="BY64" s="345">
        <v>0</v>
      </c>
      <c r="BZ64" s="345">
        <v>0</v>
      </c>
      <c r="CA64" s="345">
        <v>1615</v>
      </c>
      <c r="CB64" s="345">
        <v>1980</v>
      </c>
      <c r="CC64" s="808">
        <f t="shared" si="46"/>
        <v>5482</v>
      </c>
      <c r="CD64" s="211">
        <f t="shared" si="47"/>
        <v>913.66666666666663</v>
      </c>
      <c r="CE64" s="346">
        <v>2524</v>
      </c>
      <c r="CF64" s="343">
        <v>1117</v>
      </c>
      <c r="CG64" s="343">
        <v>920</v>
      </c>
      <c r="CH64" s="343">
        <v>0</v>
      </c>
      <c r="CI64" s="343">
        <v>0</v>
      </c>
      <c r="CJ64" s="343">
        <v>1918</v>
      </c>
      <c r="CK64" s="808">
        <f t="shared" si="48"/>
        <v>6479</v>
      </c>
      <c r="CL64" s="211">
        <f t="shared" si="49"/>
        <v>1079.8333333333333</v>
      </c>
      <c r="CM64" s="346">
        <v>0</v>
      </c>
      <c r="CN64" s="343">
        <v>2177</v>
      </c>
      <c r="CO64" s="343">
        <v>346</v>
      </c>
      <c r="CP64" s="343">
        <v>324</v>
      </c>
      <c r="CQ64" s="343">
        <v>0</v>
      </c>
      <c r="CR64" s="343">
        <v>605</v>
      </c>
      <c r="CS64" s="808">
        <f t="shared" si="50"/>
        <v>3452</v>
      </c>
      <c r="CT64" s="211">
        <f t="shared" si="51"/>
        <v>575.33333333333337</v>
      </c>
      <c r="CU64" s="346">
        <v>2577</v>
      </c>
      <c r="CV64" s="343">
        <v>0</v>
      </c>
      <c r="CW64" s="343">
        <v>1073</v>
      </c>
      <c r="CX64" s="343">
        <v>0</v>
      </c>
      <c r="CY64" s="343">
        <v>3276</v>
      </c>
      <c r="CZ64" s="343">
        <v>0</v>
      </c>
      <c r="DA64" s="808">
        <f t="shared" si="52"/>
        <v>6926</v>
      </c>
      <c r="DB64" s="211">
        <f t="shared" si="53"/>
        <v>1154.3333333333333</v>
      </c>
      <c r="DC64" s="346">
        <v>0</v>
      </c>
      <c r="DD64" s="343">
        <v>2618</v>
      </c>
      <c r="DE64" s="343">
        <v>2821</v>
      </c>
      <c r="DF64" s="343">
        <v>148</v>
      </c>
      <c r="DG64" s="343"/>
      <c r="DH64" s="343">
        <v>44</v>
      </c>
      <c r="DI64" s="808">
        <f t="shared" si="54"/>
        <v>5631</v>
      </c>
      <c r="DJ64" s="211">
        <f t="shared" si="55"/>
        <v>938.5</v>
      </c>
      <c r="DK64" s="346">
        <v>0</v>
      </c>
      <c r="DL64" s="343">
        <v>72</v>
      </c>
      <c r="DM64" s="343">
        <v>0</v>
      </c>
      <c r="DN64" s="343">
        <v>2245</v>
      </c>
      <c r="DO64" s="343">
        <v>0</v>
      </c>
      <c r="DP64" s="343">
        <v>1980</v>
      </c>
      <c r="DQ64" s="808">
        <f t="shared" si="56"/>
        <v>4297</v>
      </c>
      <c r="DR64" s="211">
        <f t="shared" si="57"/>
        <v>716.16666666666663</v>
      </c>
      <c r="DS64" s="346">
        <v>1959</v>
      </c>
      <c r="DT64" s="343">
        <v>0</v>
      </c>
      <c r="DU64" s="343">
        <v>0</v>
      </c>
      <c r="DV64" s="343">
        <v>308</v>
      </c>
      <c r="DW64" s="343">
        <v>3979</v>
      </c>
      <c r="DX64" s="343">
        <v>0</v>
      </c>
      <c r="DY64" s="808">
        <f t="shared" si="58"/>
        <v>6246</v>
      </c>
      <c r="DZ64" s="211">
        <f t="shared" si="59"/>
        <v>1041</v>
      </c>
      <c r="EA64" s="346">
        <v>2091</v>
      </c>
      <c r="EB64" s="343">
        <v>0</v>
      </c>
      <c r="EC64" s="343"/>
      <c r="ED64" s="343">
        <v>0</v>
      </c>
      <c r="EE64" s="343">
        <v>954</v>
      </c>
      <c r="EF64" s="343">
        <v>5063</v>
      </c>
      <c r="EG64" s="808">
        <f t="shared" si="60"/>
        <v>8108</v>
      </c>
      <c r="EH64" s="211">
        <f t="shared" si="61"/>
        <v>1351.3333333333333</v>
      </c>
      <c r="EI64" s="346">
        <v>0</v>
      </c>
      <c r="EJ64" s="343">
        <v>0</v>
      </c>
      <c r="EK64" s="343">
        <v>1183</v>
      </c>
      <c r="EL64" s="343">
        <v>357</v>
      </c>
      <c r="EM64" s="343">
        <v>436</v>
      </c>
      <c r="EN64" s="343">
        <v>2427</v>
      </c>
      <c r="EO64" s="808">
        <f t="shared" si="62"/>
        <v>4403</v>
      </c>
      <c r="EP64" s="211">
        <f t="shared" si="63"/>
        <v>733.83333333333337</v>
      </c>
      <c r="EQ64" s="346">
        <v>0</v>
      </c>
      <c r="ER64" s="343">
        <v>0</v>
      </c>
      <c r="ES64" s="343">
        <v>908</v>
      </c>
      <c r="ET64" s="343">
        <v>0</v>
      </c>
      <c r="EU64" s="343">
        <v>1269</v>
      </c>
      <c r="EV64" s="343">
        <v>0</v>
      </c>
      <c r="EW64" s="808">
        <f t="shared" si="64"/>
        <v>2177</v>
      </c>
      <c r="EX64" s="211">
        <f t="shared" si="65"/>
        <v>362.83333333333331</v>
      </c>
      <c r="EY64" s="346">
        <v>3083</v>
      </c>
      <c r="EZ64" s="343">
        <v>0</v>
      </c>
      <c r="FA64" s="343">
        <v>0</v>
      </c>
      <c r="FB64" s="343">
        <v>2259</v>
      </c>
      <c r="FC64" s="343">
        <v>525</v>
      </c>
      <c r="FD64" s="343">
        <v>0</v>
      </c>
      <c r="FE64" s="808">
        <f t="shared" si="66"/>
        <v>5867</v>
      </c>
      <c r="FF64" s="211">
        <f t="shared" si="67"/>
        <v>977.83333333333337</v>
      </c>
      <c r="FG64" s="755">
        <v>2099</v>
      </c>
      <c r="FH64" s="345">
        <v>0</v>
      </c>
      <c r="FI64" s="345">
        <v>877</v>
      </c>
      <c r="FJ64" s="345">
        <v>2233</v>
      </c>
      <c r="FK64" s="345">
        <v>0</v>
      </c>
      <c r="FL64" s="345">
        <v>3103</v>
      </c>
      <c r="FM64" s="808">
        <f t="shared" si="68"/>
        <v>8312</v>
      </c>
      <c r="FN64" s="211">
        <f t="shared" si="69"/>
        <v>1385.3333333333333</v>
      </c>
      <c r="FO64" s="346">
        <v>0</v>
      </c>
      <c r="FP64" s="343">
        <v>440</v>
      </c>
      <c r="FQ64" s="343">
        <v>275</v>
      </c>
      <c r="FR64" s="343">
        <v>400</v>
      </c>
      <c r="FS64" s="343">
        <v>0</v>
      </c>
      <c r="FT64" s="343">
        <v>1320</v>
      </c>
      <c r="FU64" s="808">
        <f t="shared" si="70"/>
        <v>2435</v>
      </c>
      <c r="FV64" s="211">
        <f t="shared" si="71"/>
        <v>405.83333333333331</v>
      </c>
      <c r="FW64" s="346">
        <v>1844</v>
      </c>
      <c r="FX64" s="343">
        <v>1134</v>
      </c>
      <c r="FY64" s="343">
        <v>3853</v>
      </c>
      <c r="FZ64" s="343">
        <v>0</v>
      </c>
      <c r="GA64" s="343">
        <v>0</v>
      </c>
      <c r="GB64" s="343">
        <v>384</v>
      </c>
      <c r="GC64" s="808">
        <f t="shared" si="72"/>
        <v>7215</v>
      </c>
      <c r="GD64" s="211">
        <f t="shared" si="73"/>
        <v>1202.5</v>
      </c>
      <c r="GE64" s="346">
        <v>0</v>
      </c>
      <c r="GF64" s="343">
        <v>0</v>
      </c>
      <c r="GG64" s="343">
        <v>431</v>
      </c>
      <c r="GH64" s="343">
        <v>515</v>
      </c>
      <c r="GI64" s="343">
        <v>14</v>
      </c>
      <c r="GJ64" s="343">
        <v>1792</v>
      </c>
      <c r="GK64" s="808">
        <f t="shared" si="74"/>
        <v>2752</v>
      </c>
      <c r="GL64" s="211">
        <f t="shared" si="75"/>
        <v>458.66666666666669</v>
      </c>
      <c r="GM64" s="755">
        <v>3099</v>
      </c>
      <c r="GN64" s="345">
        <v>0</v>
      </c>
      <c r="GO64" s="345">
        <v>1637</v>
      </c>
      <c r="GP64" s="345">
        <v>0</v>
      </c>
      <c r="GQ64" s="345">
        <v>0</v>
      </c>
      <c r="GR64" s="345">
        <v>0</v>
      </c>
      <c r="GS64" s="872">
        <f t="shared" si="76"/>
        <v>4736</v>
      </c>
      <c r="GT64" s="873">
        <f t="shared" si="77"/>
        <v>789.33333333333337</v>
      </c>
      <c r="GU64" s="346">
        <v>1107</v>
      </c>
      <c r="GV64" s="343">
        <v>0</v>
      </c>
      <c r="GW64" s="343">
        <v>403</v>
      </c>
      <c r="GX64" s="343">
        <v>0</v>
      </c>
      <c r="GY64" s="343">
        <v>1648</v>
      </c>
      <c r="GZ64" s="343">
        <v>0</v>
      </c>
      <c r="HA64" s="872">
        <f t="shared" si="78"/>
        <v>3158</v>
      </c>
      <c r="HB64" s="873">
        <f t="shared" si="79"/>
        <v>526.33333333333337</v>
      </c>
      <c r="HC64" s="346">
        <v>202</v>
      </c>
      <c r="HD64" s="343">
        <v>0</v>
      </c>
      <c r="HE64" s="343">
        <v>0</v>
      </c>
      <c r="HF64" s="343">
        <v>0</v>
      </c>
      <c r="HG64" s="343">
        <v>2936</v>
      </c>
      <c r="HH64" s="343">
        <v>2695</v>
      </c>
      <c r="HI64" s="872">
        <f t="shared" si="80"/>
        <v>5833</v>
      </c>
      <c r="HJ64" s="873">
        <f t="shared" si="81"/>
        <v>972.16666666666663</v>
      </c>
      <c r="HK64" s="346">
        <v>0</v>
      </c>
      <c r="HL64" s="343">
        <v>0</v>
      </c>
      <c r="HM64" s="343">
        <v>1200</v>
      </c>
      <c r="HN64" s="343">
        <v>0</v>
      </c>
      <c r="HO64" s="343">
        <v>3247</v>
      </c>
      <c r="HP64" s="343">
        <v>0</v>
      </c>
      <c r="HQ64" s="872">
        <f t="shared" si="82"/>
        <v>4447</v>
      </c>
      <c r="HR64" s="873">
        <f t="shared" si="83"/>
        <v>741.16666666666663</v>
      </c>
      <c r="HS64" s="346">
        <v>0</v>
      </c>
      <c r="HT64" s="343">
        <v>0</v>
      </c>
      <c r="HU64" s="343"/>
      <c r="HV64" s="343"/>
      <c r="HW64" s="343"/>
      <c r="HX64" s="343"/>
      <c r="HY64" s="872">
        <f t="shared" si="84"/>
        <v>0</v>
      </c>
      <c r="HZ64" s="873">
        <f t="shared" si="85"/>
        <v>0</v>
      </c>
    </row>
    <row r="65" spans="1:234" s="323" customFormat="1" ht="15" customHeight="1" x14ac:dyDescent="0.2">
      <c r="A65" s="21">
        <v>54</v>
      </c>
      <c r="B65" s="21" t="s">
        <v>105</v>
      </c>
      <c r="C65" s="275" t="s">
        <v>106</v>
      </c>
      <c r="D65" s="21">
        <v>25</v>
      </c>
      <c r="E65" s="24"/>
      <c r="F65" s="24">
        <v>2129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2129</v>
      </c>
      <c r="M65" s="15">
        <f t="shared" si="27"/>
        <v>2129</v>
      </c>
      <c r="N65" s="15">
        <v>274.16666666666669</v>
      </c>
      <c r="O65" s="276">
        <f t="shared" si="28"/>
        <v>7.7653495440729481</v>
      </c>
      <c r="P65" s="15">
        <v>145.5</v>
      </c>
      <c r="Q65" s="711">
        <f t="shared" si="29"/>
        <v>666.66666666666663</v>
      </c>
      <c r="R65" s="276">
        <f t="shared" si="30"/>
        <v>87.793814432989691</v>
      </c>
      <c r="S65" s="712">
        <f t="shared" si="31"/>
        <v>153.84615384615384</v>
      </c>
      <c r="T65" s="713">
        <v>4000</v>
      </c>
      <c r="U65" s="276">
        <f t="shared" si="92"/>
        <v>13.8385</v>
      </c>
      <c r="V65" s="278"/>
      <c r="W65" s="276">
        <f t="shared" si="33"/>
        <v>13.8385</v>
      </c>
      <c r="X65" s="279">
        <f t="shared" si="0"/>
        <v>1</v>
      </c>
      <c r="Y65" s="305">
        <v>16</v>
      </c>
      <c r="Z65" s="721"/>
      <c r="AA65" s="244">
        <v>0</v>
      </c>
      <c r="AB65" s="64">
        <v>0</v>
      </c>
      <c r="AC65" s="64">
        <v>1442</v>
      </c>
      <c r="AD65" s="64">
        <v>0</v>
      </c>
      <c r="AE65" s="64">
        <v>0</v>
      </c>
      <c r="AF65" s="64">
        <v>0</v>
      </c>
      <c r="AG65" s="64">
        <f t="shared" si="34"/>
        <v>1442</v>
      </c>
      <c r="AH65" s="211">
        <f t="shared" si="35"/>
        <v>240.33333333333334</v>
      </c>
      <c r="AI65" s="755">
        <v>0</v>
      </c>
      <c r="AJ65" s="345">
        <v>0</v>
      </c>
      <c r="AK65" s="345">
        <v>0</v>
      </c>
      <c r="AL65" s="345">
        <v>0</v>
      </c>
      <c r="AM65" s="345">
        <v>740</v>
      </c>
      <c r="AN65" s="345">
        <v>0</v>
      </c>
      <c r="AO65" s="808">
        <f t="shared" si="36"/>
        <v>740</v>
      </c>
      <c r="AP65" s="809">
        <f t="shared" si="37"/>
        <v>123.33333333333333</v>
      </c>
      <c r="AQ65" s="814">
        <v>0</v>
      </c>
      <c r="AR65" s="815">
        <v>0</v>
      </c>
      <c r="AS65" s="815">
        <v>0</v>
      </c>
      <c r="AT65" s="815">
        <v>0</v>
      </c>
      <c r="AU65" s="815">
        <v>924</v>
      </c>
      <c r="AV65" s="815">
        <v>0</v>
      </c>
      <c r="AW65" s="808">
        <f t="shared" si="38"/>
        <v>924</v>
      </c>
      <c r="AX65" s="211">
        <f t="shared" si="39"/>
        <v>154</v>
      </c>
      <c r="AY65" s="346">
        <v>0</v>
      </c>
      <c r="AZ65" s="343">
        <v>877</v>
      </c>
      <c r="BA65" s="343">
        <v>0</v>
      </c>
      <c r="BB65" s="343">
        <v>0</v>
      </c>
      <c r="BC65" s="343">
        <v>0</v>
      </c>
      <c r="BD65" s="343">
        <v>490</v>
      </c>
      <c r="BE65" s="808">
        <f t="shared" si="40"/>
        <v>1367</v>
      </c>
      <c r="BF65" s="211">
        <f t="shared" si="41"/>
        <v>227.83333333333334</v>
      </c>
      <c r="BG65" s="814">
        <v>0</v>
      </c>
      <c r="BH65" s="815">
        <v>0</v>
      </c>
      <c r="BI65" s="815">
        <v>0</v>
      </c>
      <c r="BJ65" s="815">
        <v>803</v>
      </c>
      <c r="BK65" s="815">
        <v>0</v>
      </c>
      <c r="BL65" s="815">
        <v>928</v>
      </c>
      <c r="BM65" s="808">
        <f t="shared" si="42"/>
        <v>1731</v>
      </c>
      <c r="BN65" s="211">
        <f t="shared" si="43"/>
        <v>288.5</v>
      </c>
      <c r="BO65" s="755">
        <v>0</v>
      </c>
      <c r="BP65" s="345">
        <v>0</v>
      </c>
      <c r="BQ65" s="345">
        <v>0</v>
      </c>
      <c r="BR65" s="345">
        <v>0</v>
      </c>
      <c r="BS65" s="345">
        <v>851</v>
      </c>
      <c r="BT65" s="345">
        <v>0</v>
      </c>
      <c r="BU65" s="808">
        <f t="shared" si="44"/>
        <v>851</v>
      </c>
      <c r="BV65" s="211">
        <f t="shared" si="45"/>
        <v>141.83333333333334</v>
      </c>
      <c r="BW65" s="755">
        <v>0</v>
      </c>
      <c r="BX65" s="345">
        <v>0</v>
      </c>
      <c r="BY65" s="345">
        <v>0</v>
      </c>
      <c r="BZ65" s="345">
        <v>0</v>
      </c>
      <c r="CA65" s="345">
        <v>0</v>
      </c>
      <c r="CB65" s="345">
        <v>1209</v>
      </c>
      <c r="CC65" s="808">
        <f t="shared" si="46"/>
        <v>1209</v>
      </c>
      <c r="CD65" s="211">
        <f t="shared" si="47"/>
        <v>201.5</v>
      </c>
      <c r="CE65" s="346">
        <v>0</v>
      </c>
      <c r="CF65" s="343">
        <v>0</v>
      </c>
      <c r="CG65" s="343">
        <v>0</v>
      </c>
      <c r="CH65" s="343">
        <v>820</v>
      </c>
      <c r="CI65" s="343">
        <v>0</v>
      </c>
      <c r="CJ65" s="343">
        <v>0</v>
      </c>
      <c r="CK65" s="808">
        <f t="shared" si="48"/>
        <v>820</v>
      </c>
      <c r="CL65" s="211">
        <f t="shared" si="49"/>
        <v>136.66666666666666</v>
      </c>
      <c r="CM65" s="346">
        <v>0</v>
      </c>
      <c r="CN65" s="343">
        <v>0</v>
      </c>
      <c r="CO65" s="343">
        <v>0</v>
      </c>
      <c r="CP65" s="343">
        <v>845</v>
      </c>
      <c r="CQ65" s="343">
        <v>0</v>
      </c>
      <c r="CR65" s="343">
        <v>1188</v>
      </c>
      <c r="CS65" s="808">
        <f t="shared" si="50"/>
        <v>2033</v>
      </c>
      <c r="CT65" s="211">
        <f t="shared" si="51"/>
        <v>338.83333333333331</v>
      </c>
      <c r="CU65" s="346">
        <v>0</v>
      </c>
      <c r="CV65" s="343">
        <v>0</v>
      </c>
      <c r="CW65" s="343">
        <v>0</v>
      </c>
      <c r="CX65" s="343">
        <v>0</v>
      </c>
      <c r="CY65" s="343">
        <v>0</v>
      </c>
      <c r="CZ65" s="343">
        <v>0</v>
      </c>
      <c r="DA65" s="808">
        <f t="shared" si="52"/>
        <v>0</v>
      </c>
      <c r="DB65" s="211">
        <f t="shared" si="53"/>
        <v>0</v>
      </c>
      <c r="DC65" s="346">
        <v>0</v>
      </c>
      <c r="DD65" s="343">
        <v>832</v>
      </c>
      <c r="DE65" s="343">
        <v>0</v>
      </c>
      <c r="DF65" s="343">
        <v>0</v>
      </c>
      <c r="DG65" s="343"/>
      <c r="DH65" s="343">
        <v>0</v>
      </c>
      <c r="DI65" s="808">
        <f t="shared" si="54"/>
        <v>832</v>
      </c>
      <c r="DJ65" s="211">
        <f t="shared" si="55"/>
        <v>138.66666666666666</v>
      </c>
      <c r="DK65" s="346">
        <v>1129</v>
      </c>
      <c r="DL65" s="343">
        <v>0</v>
      </c>
      <c r="DM65" s="343">
        <v>0</v>
      </c>
      <c r="DN65" s="343">
        <v>0</v>
      </c>
      <c r="DO65" s="343">
        <v>0</v>
      </c>
      <c r="DP65" s="343">
        <v>0</v>
      </c>
      <c r="DQ65" s="808">
        <f t="shared" si="56"/>
        <v>1129</v>
      </c>
      <c r="DR65" s="211">
        <f t="shared" si="57"/>
        <v>188.16666666666666</v>
      </c>
      <c r="DS65" s="346">
        <v>1047</v>
      </c>
      <c r="DT65" s="343">
        <v>0</v>
      </c>
      <c r="DU65" s="343">
        <v>0</v>
      </c>
      <c r="DV65" s="343">
        <v>997</v>
      </c>
      <c r="DW65" s="343">
        <v>0</v>
      </c>
      <c r="DX65" s="343">
        <v>0</v>
      </c>
      <c r="DY65" s="808">
        <f t="shared" si="58"/>
        <v>2044</v>
      </c>
      <c r="DZ65" s="211">
        <f t="shared" si="59"/>
        <v>340.66666666666669</v>
      </c>
      <c r="EA65" s="346">
        <v>0</v>
      </c>
      <c r="EB65" s="343">
        <v>0</v>
      </c>
      <c r="EC65" s="343"/>
      <c r="ED65" s="343">
        <v>0</v>
      </c>
      <c r="EE65" s="343">
        <v>868</v>
      </c>
      <c r="EF65" s="343">
        <v>0</v>
      </c>
      <c r="EG65" s="808">
        <f t="shared" si="60"/>
        <v>868</v>
      </c>
      <c r="EH65" s="211">
        <f t="shared" si="61"/>
        <v>144.66666666666666</v>
      </c>
      <c r="EI65" s="346">
        <v>0</v>
      </c>
      <c r="EJ65" s="343">
        <v>1183</v>
      </c>
      <c r="EK65" s="343">
        <v>0</v>
      </c>
      <c r="EL65" s="343">
        <v>0</v>
      </c>
      <c r="EM65" s="343">
        <v>0</v>
      </c>
      <c r="EN65" s="343">
        <v>693</v>
      </c>
      <c r="EO65" s="808">
        <f t="shared" si="62"/>
        <v>1876</v>
      </c>
      <c r="EP65" s="211">
        <f t="shared" si="63"/>
        <v>312.66666666666669</v>
      </c>
      <c r="EQ65" s="346">
        <v>0</v>
      </c>
      <c r="ER65" s="343">
        <v>0</v>
      </c>
      <c r="ES65" s="343">
        <v>0</v>
      </c>
      <c r="ET65" s="343">
        <v>0</v>
      </c>
      <c r="EU65" s="343">
        <v>974</v>
      </c>
      <c r="EV65" s="343">
        <v>0</v>
      </c>
      <c r="EW65" s="808">
        <f t="shared" si="64"/>
        <v>974</v>
      </c>
      <c r="EX65" s="211">
        <f t="shared" si="65"/>
        <v>162.33333333333334</v>
      </c>
      <c r="EY65" s="346">
        <v>0</v>
      </c>
      <c r="EZ65" s="343">
        <v>0</v>
      </c>
      <c r="FA65" s="343">
        <v>0</v>
      </c>
      <c r="FB65" s="343">
        <v>1193</v>
      </c>
      <c r="FC65" s="343">
        <v>0</v>
      </c>
      <c r="FD65" s="343">
        <v>0</v>
      </c>
      <c r="FE65" s="808">
        <f t="shared" si="66"/>
        <v>1193</v>
      </c>
      <c r="FF65" s="211">
        <f t="shared" si="67"/>
        <v>198.83333333333334</v>
      </c>
      <c r="FG65" s="755">
        <v>0</v>
      </c>
      <c r="FH65" s="345">
        <v>0</v>
      </c>
      <c r="FI65" s="345">
        <v>0</v>
      </c>
      <c r="FJ65" s="345">
        <v>849</v>
      </c>
      <c r="FK65" s="345">
        <v>0</v>
      </c>
      <c r="FL65" s="345">
        <v>0</v>
      </c>
      <c r="FM65" s="808">
        <f t="shared" si="68"/>
        <v>849</v>
      </c>
      <c r="FN65" s="211">
        <f t="shared" si="69"/>
        <v>141.5</v>
      </c>
      <c r="FO65" s="346">
        <v>969</v>
      </c>
      <c r="FP65" s="343">
        <v>0</v>
      </c>
      <c r="FQ65" s="343">
        <v>0</v>
      </c>
      <c r="FR65" s="343">
        <v>0</v>
      </c>
      <c r="FS65" s="343">
        <v>0</v>
      </c>
      <c r="FT65" s="343">
        <v>840</v>
      </c>
      <c r="FU65" s="808">
        <f t="shared" si="70"/>
        <v>1809</v>
      </c>
      <c r="FV65" s="211">
        <f t="shared" si="71"/>
        <v>301.5</v>
      </c>
      <c r="FW65" s="346">
        <v>0</v>
      </c>
      <c r="FX65" s="343">
        <v>0</v>
      </c>
      <c r="FY65" s="343">
        <v>975</v>
      </c>
      <c r="FZ65" s="343">
        <v>0</v>
      </c>
      <c r="GA65" s="343">
        <v>0</v>
      </c>
      <c r="GB65" s="343">
        <v>0</v>
      </c>
      <c r="GC65" s="808">
        <f t="shared" si="72"/>
        <v>975</v>
      </c>
      <c r="GD65" s="211">
        <f t="shared" si="73"/>
        <v>162.5</v>
      </c>
      <c r="GE65" s="346">
        <v>1060</v>
      </c>
      <c r="GF65" s="343">
        <v>0</v>
      </c>
      <c r="GG65" s="343">
        <v>0</v>
      </c>
      <c r="GH65" s="343">
        <v>0</v>
      </c>
      <c r="GI65" s="343">
        <v>0</v>
      </c>
      <c r="GJ65" s="343">
        <v>0</v>
      </c>
      <c r="GK65" s="808">
        <f t="shared" si="74"/>
        <v>1060</v>
      </c>
      <c r="GL65" s="211">
        <f t="shared" si="75"/>
        <v>176.66666666666666</v>
      </c>
      <c r="GM65" s="755">
        <v>1216</v>
      </c>
      <c r="GN65" s="345">
        <v>0</v>
      </c>
      <c r="GO65" s="345">
        <v>0</v>
      </c>
      <c r="GP65" s="345">
        <v>457</v>
      </c>
      <c r="GQ65" s="345">
        <v>0</v>
      </c>
      <c r="GR65" s="345">
        <v>0</v>
      </c>
      <c r="GS65" s="872">
        <f t="shared" si="76"/>
        <v>1673</v>
      </c>
      <c r="GT65" s="873">
        <f t="shared" si="77"/>
        <v>278.83333333333331</v>
      </c>
      <c r="GU65" s="346">
        <v>0</v>
      </c>
      <c r="GV65" s="343">
        <v>0</v>
      </c>
      <c r="GW65" s="343">
        <v>840</v>
      </c>
      <c r="GX65" s="343">
        <v>0</v>
      </c>
      <c r="GY65" s="343">
        <v>0</v>
      </c>
      <c r="GZ65" s="343">
        <v>0</v>
      </c>
      <c r="HA65" s="872">
        <f t="shared" si="78"/>
        <v>840</v>
      </c>
      <c r="HB65" s="873">
        <f t="shared" si="79"/>
        <v>140</v>
      </c>
      <c r="HC65" s="346">
        <v>0</v>
      </c>
      <c r="HD65" s="343">
        <v>0</v>
      </c>
      <c r="HE65" s="343">
        <v>757</v>
      </c>
      <c r="HF65" s="343">
        <v>0</v>
      </c>
      <c r="HG65" s="343">
        <v>0</v>
      </c>
      <c r="HH65" s="343">
        <v>0</v>
      </c>
      <c r="HI65" s="872">
        <f t="shared" si="80"/>
        <v>757</v>
      </c>
      <c r="HJ65" s="873">
        <f t="shared" si="81"/>
        <v>126.16666666666667</v>
      </c>
      <c r="HK65" s="346">
        <v>0</v>
      </c>
      <c r="HL65" s="343">
        <v>819</v>
      </c>
      <c r="HM65" s="343">
        <v>0</v>
      </c>
      <c r="HN65" s="343">
        <v>0</v>
      </c>
      <c r="HO65" s="343">
        <v>0</v>
      </c>
      <c r="HP65" s="343">
        <v>826</v>
      </c>
      <c r="HQ65" s="872">
        <f t="shared" si="82"/>
        <v>1645</v>
      </c>
      <c r="HR65" s="873">
        <f t="shared" si="83"/>
        <v>274.16666666666669</v>
      </c>
      <c r="HS65" s="346">
        <v>0</v>
      </c>
      <c r="HT65" s="343">
        <v>0</v>
      </c>
      <c r="HU65" s="343"/>
      <c r="HV65" s="343"/>
      <c r="HW65" s="343"/>
      <c r="HX65" s="343"/>
      <c r="HY65" s="872">
        <f t="shared" si="84"/>
        <v>0</v>
      </c>
      <c r="HZ65" s="873">
        <f t="shared" si="85"/>
        <v>0</v>
      </c>
    </row>
    <row r="66" spans="1:234" s="323" customFormat="1" ht="15" customHeight="1" x14ac:dyDescent="0.2">
      <c r="A66" s="21">
        <v>55</v>
      </c>
      <c r="B66" s="21" t="s">
        <v>107</v>
      </c>
      <c r="C66" s="275" t="s">
        <v>108</v>
      </c>
      <c r="D66" s="21">
        <v>25</v>
      </c>
      <c r="E66" s="24"/>
      <c r="F66" s="24">
        <v>3614</v>
      </c>
      <c r="G66" s="24"/>
      <c r="H66" s="24">
        <v>2845</v>
      </c>
      <c r="I66" s="360"/>
      <c r="J66" s="360">
        <f>SUMIF(SUMPK!$B:$B,$B:$B,SUMPK!$O:$O)</f>
        <v>466</v>
      </c>
      <c r="K66" s="24"/>
      <c r="L66" s="24">
        <f t="shared" si="86"/>
        <v>5993</v>
      </c>
      <c r="M66" s="15">
        <f t="shared" si="27"/>
        <v>5993</v>
      </c>
      <c r="N66" s="15">
        <v>667.5</v>
      </c>
      <c r="O66" s="276">
        <f t="shared" si="28"/>
        <v>8.9782771535580519</v>
      </c>
      <c r="P66" s="15">
        <v>781.33333333333337</v>
      </c>
      <c r="Q66" s="711">
        <f t="shared" si="29"/>
        <v>3200</v>
      </c>
      <c r="R66" s="276">
        <f t="shared" si="30"/>
        <v>46.021331058020479</v>
      </c>
      <c r="S66" s="712">
        <f t="shared" si="31"/>
        <v>738.46153846153845</v>
      </c>
      <c r="T66" s="713">
        <v>19200</v>
      </c>
      <c r="U66" s="276">
        <f t="shared" si="92"/>
        <v>8.1155208333333331</v>
      </c>
      <c r="V66" s="278"/>
      <c r="W66" s="276">
        <f t="shared" si="33"/>
        <v>8.1155208333333331</v>
      </c>
      <c r="X66" s="279">
        <f t="shared" si="0"/>
        <v>1</v>
      </c>
      <c r="Y66" s="305">
        <v>17</v>
      </c>
      <c r="Z66" s="721"/>
      <c r="AA66" s="244">
        <v>1596</v>
      </c>
      <c r="AB66" s="64">
        <v>0</v>
      </c>
      <c r="AC66" s="64">
        <v>0</v>
      </c>
      <c r="AD66" s="64">
        <v>1684</v>
      </c>
      <c r="AE66" s="64">
        <v>0</v>
      </c>
      <c r="AF66" s="64">
        <v>0</v>
      </c>
      <c r="AG66" s="64">
        <f t="shared" si="34"/>
        <v>3280</v>
      </c>
      <c r="AH66" s="211">
        <f t="shared" si="35"/>
        <v>546.66666666666663</v>
      </c>
      <c r="AI66" s="755">
        <v>2061</v>
      </c>
      <c r="AJ66" s="345">
        <v>0</v>
      </c>
      <c r="AK66" s="345">
        <v>419</v>
      </c>
      <c r="AL66" s="345">
        <v>2376</v>
      </c>
      <c r="AM66" s="345">
        <v>0</v>
      </c>
      <c r="AN66" s="345">
        <v>0</v>
      </c>
      <c r="AO66" s="808">
        <f t="shared" si="36"/>
        <v>4856</v>
      </c>
      <c r="AP66" s="809">
        <f t="shared" si="37"/>
        <v>809.33333333333337</v>
      </c>
      <c r="AQ66" s="814">
        <v>0</v>
      </c>
      <c r="AR66" s="815">
        <v>880</v>
      </c>
      <c r="AS66" s="815">
        <v>380</v>
      </c>
      <c r="AT66" s="815">
        <v>0</v>
      </c>
      <c r="AU66" s="815">
        <v>330</v>
      </c>
      <c r="AV66" s="815">
        <v>1822</v>
      </c>
      <c r="AW66" s="808">
        <f t="shared" si="38"/>
        <v>3412</v>
      </c>
      <c r="AX66" s="211">
        <f t="shared" si="39"/>
        <v>568.66666666666663</v>
      </c>
      <c r="AY66" s="346">
        <v>440</v>
      </c>
      <c r="AZ66" s="343">
        <v>1173</v>
      </c>
      <c r="BA66" s="343">
        <v>1939</v>
      </c>
      <c r="BB66" s="343">
        <v>0</v>
      </c>
      <c r="BC66" s="343">
        <v>0</v>
      </c>
      <c r="BD66" s="343">
        <v>0</v>
      </c>
      <c r="BE66" s="808">
        <f t="shared" si="40"/>
        <v>3552</v>
      </c>
      <c r="BF66" s="211">
        <f t="shared" si="41"/>
        <v>592</v>
      </c>
      <c r="BG66" s="814">
        <v>1708</v>
      </c>
      <c r="BH66" s="815">
        <v>0</v>
      </c>
      <c r="BI66" s="815">
        <v>2582</v>
      </c>
      <c r="BJ66" s="815">
        <v>0</v>
      </c>
      <c r="BK66" s="815">
        <v>0</v>
      </c>
      <c r="BL66" s="815">
        <v>0</v>
      </c>
      <c r="BM66" s="808">
        <f t="shared" si="42"/>
        <v>4290</v>
      </c>
      <c r="BN66" s="211">
        <f t="shared" si="43"/>
        <v>715</v>
      </c>
      <c r="BO66" s="755">
        <v>1290</v>
      </c>
      <c r="BP66" s="345">
        <v>847</v>
      </c>
      <c r="BQ66" s="345">
        <v>0</v>
      </c>
      <c r="BR66" s="345">
        <v>1123</v>
      </c>
      <c r="BS66" s="345">
        <v>124</v>
      </c>
      <c r="BT66" s="345">
        <v>1243</v>
      </c>
      <c r="BU66" s="808">
        <f t="shared" si="44"/>
        <v>4627</v>
      </c>
      <c r="BV66" s="211">
        <f t="shared" si="45"/>
        <v>771.16666666666663</v>
      </c>
      <c r="BW66" s="755">
        <v>1296</v>
      </c>
      <c r="BX66" s="345">
        <v>214</v>
      </c>
      <c r="BY66" s="345">
        <v>0</v>
      </c>
      <c r="BZ66" s="345">
        <v>440</v>
      </c>
      <c r="CA66" s="345">
        <v>1247</v>
      </c>
      <c r="CB66" s="345">
        <v>1371</v>
      </c>
      <c r="CC66" s="808">
        <f t="shared" si="46"/>
        <v>4568</v>
      </c>
      <c r="CD66" s="211">
        <f t="shared" si="47"/>
        <v>761.33333333333337</v>
      </c>
      <c r="CE66" s="346">
        <v>343</v>
      </c>
      <c r="CF66" s="343">
        <v>307</v>
      </c>
      <c r="CG66" s="343">
        <v>1507</v>
      </c>
      <c r="CH66" s="343">
        <v>0</v>
      </c>
      <c r="CI66" s="343">
        <v>0</v>
      </c>
      <c r="CJ66" s="343">
        <v>1676</v>
      </c>
      <c r="CK66" s="808">
        <f t="shared" si="48"/>
        <v>3833</v>
      </c>
      <c r="CL66" s="211">
        <f t="shared" si="49"/>
        <v>638.83333333333337</v>
      </c>
      <c r="CM66" s="346">
        <v>0</v>
      </c>
      <c r="CN66" s="343">
        <v>0</v>
      </c>
      <c r="CO66" s="343">
        <v>891</v>
      </c>
      <c r="CP66" s="343">
        <v>2827</v>
      </c>
      <c r="CQ66" s="343">
        <v>0</v>
      </c>
      <c r="CR66" s="343">
        <v>1126</v>
      </c>
      <c r="CS66" s="808">
        <f t="shared" si="50"/>
        <v>4844</v>
      </c>
      <c r="CT66" s="211">
        <f t="shared" si="51"/>
        <v>807.33333333333337</v>
      </c>
      <c r="CU66" s="346">
        <v>276</v>
      </c>
      <c r="CV66" s="343">
        <v>382</v>
      </c>
      <c r="CW66" s="343">
        <v>0</v>
      </c>
      <c r="CX66" s="343">
        <v>0</v>
      </c>
      <c r="CY66" s="343">
        <v>0</v>
      </c>
      <c r="CZ66" s="343">
        <v>2581</v>
      </c>
      <c r="DA66" s="808">
        <f t="shared" si="52"/>
        <v>3239</v>
      </c>
      <c r="DB66" s="211">
        <f t="shared" si="53"/>
        <v>539.83333333333337</v>
      </c>
      <c r="DC66" s="346">
        <v>0</v>
      </c>
      <c r="DD66" s="343">
        <v>0</v>
      </c>
      <c r="DE66" s="343">
        <v>2943</v>
      </c>
      <c r="DF66" s="343">
        <v>0</v>
      </c>
      <c r="DG66" s="343"/>
      <c r="DH66" s="343">
        <v>2231</v>
      </c>
      <c r="DI66" s="808">
        <f t="shared" si="54"/>
        <v>5174</v>
      </c>
      <c r="DJ66" s="211">
        <f t="shared" si="55"/>
        <v>862.33333333333337</v>
      </c>
      <c r="DK66" s="346">
        <v>0</v>
      </c>
      <c r="DL66" s="343">
        <v>0</v>
      </c>
      <c r="DM66" s="343">
        <v>1246</v>
      </c>
      <c r="DN66" s="343">
        <v>0</v>
      </c>
      <c r="DO66" s="343">
        <v>2255</v>
      </c>
      <c r="DP66" s="343">
        <v>0</v>
      </c>
      <c r="DQ66" s="808">
        <f t="shared" si="56"/>
        <v>3501</v>
      </c>
      <c r="DR66" s="211">
        <f t="shared" si="57"/>
        <v>583.5</v>
      </c>
      <c r="DS66" s="346">
        <v>770</v>
      </c>
      <c r="DT66" s="343">
        <v>1290</v>
      </c>
      <c r="DU66" s="343">
        <v>0</v>
      </c>
      <c r="DV66" s="343">
        <v>600</v>
      </c>
      <c r="DW66" s="343">
        <v>0</v>
      </c>
      <c r="DX66" s="343">
        <v>2947</v>
      </c>
      <c r="DY66" s="808">
        <f t="shared" si="58"/>
        <v>5607</v>
      </c>
      <c r="DZ66" s="211">
        <f t="shared" si="59"/>
        <v>934.5</v>
      </c>
      <c r="EA66" s="346">
        <v>15</v>
      </c>
      <c r="EB66" s="343">
        <v>360</v>
      </c>
      <c r="EC66" s="343"/>
      <c r="ED66" s="343">
        <v>566</v>
      </c>
      <c r="EE66" s="343">
        <v>1453</v>
      </c>
      <c r="EF66" s="343">
        <v>0</v>
      </c>
      <c r="EG66" s="808">
        <f t="shared" si="60"/>
        <v>2394</v>
      </c>
      <c r="EH66" s="211">
        <f t="shared" si="61"/>
        <v>399</v>
      </c>
      <c r="EI66" s="346">
        <v>0</v>
      </c>
      <c r="EJ66" s="343">
        <v>2712</v>
      </c>
      <c r="EK66" s="343">
        <v>0</v>
      </c>
      <c r="EL66" s="343">
        <v>328</v>
      </c>
      <c r="EM66" s="343">
        <v>0</v>
      </c>
      <c r="EN66" s="343">
        <v>1992</v>
      </c>
      <c r="EO66" s="808">
        <f t="shared" si="62"/>
        <v>5032</v>
      </c>
      <c r="EP66" s="211">
        <f t="shared" si="63"/>
        <v>838.66666666666663</v>
      </c>
      <c r="EQ66" s="346">
        <v>0</v>
      </c>
      <c r="ER66" s="343">
        <v>0</v>
      </c>
      <c r="ES66" s="343">
        <v>1620</v>
      </c>
      <c r="ET66" s="343">
        <v>0</v>
      </c>
      <c r="EU66" s="343">
        <v>0</v>
      </c>
      <c r="EV66" s="343">
        <v>1858</v>
      </c>
      <c r="EW66" s="808">
        <f t="shared" si="64"/>
        <v>3478</v>
      </c>
      <c r="EX66" s="211">
        <f t="shared" si="65"/>
        <v>579.66666666666663</v>
      </c>
      <c r="EY66" s="346">
        <v>0</v>
      </c>
      <c r="EZ66" s="343">
        <v>1441</v>
      </c>
      <c r="FA66" s="343">
        <v>0</v>
      </c>
      <c r="FB66" s="343">
        <v>0</v>
      </c>
      <c r="FC66" s="343">
        <v>3160</v>
      </c>
      <c r="FD66" s="343">
        <v>0</v>
      </c>
      <c r="FE66" s="808">
        <f t="shared" si="66"/>
        <v>4601</v>
      </c>
      <c r="FF66" s="211">
        <f t="shared" si="67"/>
        <v>766.83333333333337</v>
      </c>
      <c r="FG66" s="755">
        <v>1192</v>
      </c>
      <c r="FH66" s="345">
        <v>2052</v>
      </c>
      <c r="FI66" s="345">
        <v>0</v>
      </c>
      <c r="FJ66" s="345">
        <v>1331</v>
      </c>
      <c r="FK66" s="345">
        <v>0</v>
      </c>
      <c r="FL66" s="345">
        <v>0</v>
      </c>
      <c r="FM66" s="808">
        <f t="shared" si="68"/>
        <v>4575</v>
      </c>
      <c r="FN66" s="211">
        <f t="shared" si="69"/>
        <v>762.5</v>
      </c>
      <c r="FO66" s="346">
        <v>0</v>
      </c>
      <c r="FP66" s="343">
        <v>1468</v>
      </c>
      <c r="FQ66" s="343">
        <v>0</v>
      </c>
      <c r="FR66" s="343">
        <v>2735</v>
      </c>
      <c r="FS66" s="343">
        <v>0</v>
      </c>
      <c r="FT66" s="343">
        <v>1593</v>
      </c>
      <c r="FU66" s="808">
        <f t="shared" si="70"/>
        <v>5796</v>
      </c>
      <c r="FV66" s="211">
        <f t="shared" si="71"/>
        <v>966</v>
      </c>
      <c r="FW66" s="346">
        <v>615</v>
      </c>
      <c r="FX66" s="343">
        <v>0</v>
      </c>
      <c r="FY66" s="343">
        <v>0</v>
      </c>
      <c r="FZ66" s="343">
        <v>0</v>
      </c>
      <c r="GA66" s="343">
        <v>2334</v>
      </c>
      <c r="GB66" s="343">
        <v>0</v>
      </c>
      <c r="GC66" s="808">
        <f t="shared" si="72"/>
        <v>2949</v>
      </c>
      <c r="GD66" s="211">
        <f t="shared" si="73"/>
        <v>491.5</v>
      </c>
      <c r="GE66" s="346">
        <v>0</v>
      </c>
      <c r="GF66" s="343">
        <v>0</v>
      </c>
      <c r="GG66" s="343">
        <v>0</v>
      </c>
      <c r="GH66" s="343">
        <v>1535</v>
      </c>
      <c r="GI66" s="343">
        <v>0</v>
      </c>
      <c r="GJ66" s="343">
        <v>0</v>
      </c>
      <c r="GK66" s="808">
        <f t="shared" si="74"/>
        <v>1535</v>
      </c>
      <c r="GL66" s="211">
        <f t="shared" si="75"/>
        <v>255.83333333333334</v>
      </c>
      <c r="GM66" s="755">
        <v>0</v>
      </c>
      <c r="GN66" s="345">
        <v>2241</v>
      </c>
      <c r="GO66" s="345">
        <v>0</v>
      </c>
      <c r="GP66" s="345">
        <v>2380</v>
      </c>
      <c r="GQ66" s="345">
        <v>0</v>
      </c>
      <c r="GR66" s="345">
        <v>0</v>
      </c>
      <c r="GS66" s="872">
        <f t="shared" si="76"/>
        <v>4621</v>
      </c>
      <c r="GT66" s="873">
        <f t="shared" si="77"/>
        <v>770.16666666666663</v>
      </c>
      <c r="GU66" s="346">
        <v>915</v>
      </c>
      <c r="GV66" s="343">
        <v>0</v>
      </c>
      <c r="GW66" s="343">
        <v>0</v>
      </c>
      <c r="GX66" s="343">
        <v>1371</v>
      </c>
      <c r="GY66" s="343">
        <v>0</v>
      </c>
      <c r="GZ66" s="343">
        <v>944</v>
      </c>
      <c r="HA66" s="872">
        <f t="shared" si="78"/>
        <v>3230</v>
      </c>
      <c r="HB66" s="873">
        <f t="shared" si="79"/>
        <v>538.33333333333337</v>
      </c>
      <c r="HC66" s="346">
        <v>0</v>
      </c>
      <c r="HD66" s="343">
        <v>1129</v>
      </c>
      <c r="HE66" s="343">
        <v>330</v>
      </c>
      <c r="HF66" s="343">
        <v>2296</v>
      </c>
      <c r="HG66" s="343">
        <v>0</v>
      </c>
      <c r="HH66" s="343">
        <v>0</v>
      </c>
      <c r="HI66" s="872">
        <f t="shared" si="80"/>
        <v>3755</v>
      </c>
      <c r="HJ66" s="873">
        <f t="shared" si="81"/>
        <v>625.83333333333337</v>
      </c>
      <c r="HK66" s="346">
        <v>1003</v>
      </c>
      <c r="HL66" s="343">
        <v>0</v>
      </c>
      <c r="HM66" s="343">
        <v>1092</v>
      </c>
      <c r="HN66" s="343">
        <v>1910</v>
      </c>
      <c r="HO66" s="343">
        <v>0</v>
      </c>
      <c r="HP66" s="343">
        <v>0</v>
      </c>
      <c r="HQ66" s="872">
        <f t="shared" si="82"/>
        <v>4005</v>
      </c>
      <c r="HR66" s="873">
        <f t="shared" si="83"/>
        <v>667.5</v>
      </c>
      <c r="HS66" s="346">
        <v>2547</v>
      </c>
      <c r="HT66" s="343">
        <v>1980</v>
      </c>
      <c r="HU66" s="343"/>
      <c r="HV66" s="343"/>
      <c r="HW66" s="343"/>
      <c r="HX66" s="343"/>
      <c r="HY66" s="872">
        <f t="shared" si="84"/>
        <v>4527</v>
      </c>
      <c r="HZ66" s="873">
        <f t="shared" si="85"/>
        <v>754.5</v>
      </c>
    </row>
    <row r="67" spans="1:234" s="323" customFormat="1" ht="15" customHeight="1" x14ac:dyDescent="0.2">
      <c r="A67" s="21">
        <v>56</v>
      </c>
      <c r="B67" s="21" t="s">
        <v>312</v>
      </c>
      <c r="C67" s="275" t="s">
        <v>507</v>
      </c>
      <c r="D67" s="21">
        <v>25</v>
      </c>
      <c r="E67" s="24"/>
      <c r="F67" s="24">
        <v>1680</v>
      </c>
      <c r="G67" s="24"/>
      <c r="H67" s="24"/>
      <c r="I67" s="360"/>
      <c r="J67" s="360">
        <f>SUMIF(SUMPK!$B:$B,$B:$B,SUMPK!$O:$O)</f>
        <v>0</v>
      </c>
      <c r="K67" s="24"/>
      <c r="L67" s="24">
        <f t="shared" ref="L67:L68" si="109">F67+H67-J67</f>
        <v>1680</v>
      </c>
      <c r="M67" s="15">
        <f t="shared" ref="M67:M68" si="110">K67+L67</f>
        <v>1680</v>
      </c>
      <c r="N67" s="15">
        <v>0</v>
      </c>
      <c r="O67" s="276">
        <f t="shared" si="28"/>
        <v>0</v>
      </c>
      <c r="P67" s="15"/>
      <c r="Q67" s="711">
        <f t="shared" si="29"/>
        <v>0</v>
      </c>
      <c r="R67" s="276"/>
      <c r="S67" s="712">
        <f t="shared" si="31"/>
        <v>0</v>
      </c>
      <c r="T67" s="713"/>
      <c r="U67" s="276">
        <f t="shared" si="92"/>
        <v>0</v>
      </c>
      <c r="V67" s="278"/>
      <c r="W67" s="276">
        <f t="shared" si="33"/>
        <v>0</v>
      </c>
      <c r="X67" s="279">
        <f t="shared" si="0"/>
        <v>1</v>
      </c>
      <c r="Y67" s="305">
        <v>18</v>
      </c>
      <c r="Z67" s="721"/>
      <c r="AA67" s="244">
        <v>0</v>
      </c>
      <c r="AB67" s="64">
        <v>0</v>
      </c>
      <c r="AC67" s="64">
        <v>0</v>
      </c>
      <c r="AD67" s="64">
        <v>0</v>
      </c>
      <c r="AE67" s="64">
        <v>0</v>
      </c>
      <c r="AF67" s="64">
        <v>0</v>
      </c>
      <c r="AG67" s="64">
        <f t="shared" si="34"/>
        <v>0</v>
      </c>
      <c r="AH67" s="211">
        <f t="shared" si="35"/>
        <v>0</v>
      </c>
      <c r="AI67" s="75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808">
        <f t="shared" si="36"/>
        <v>0</v>
      </c>
      <c r="AP67" s="809">
        <f t="shared" si="37"/>
        <v>0</v>
      </c>
      <c r="AQ67" s="814">
        <v>0</v>
      </c>
      <c r="AR67" s="815">
        <v>0</v>
      </c>
      <c r="AS67" s="815">
        <v>0</v>
      </c>
      <c r="AT67" s="815">
        <v>0</v>
      </c>
      <c r="AU67" s="815">
        <v>0</v>
      </c>
      <c r="AV67" s="815">
        <v>0</v>
      </c>
      <c r="AW67" s="808">
        <f t="shared" si="38"/>
        <v>0</v>
      </c>
      <c r="AX67" s="211">
        <f t="shared" si="39"/>
        <v>0</v>
      </c>
      <c r="AY67" s="346">
        <v>0</v>
      </c>
      <c r="AZ67" s="343">
        <v>0</v>
      </c>
      <c r="BA67" s="343">
        <v>0</v>
      </c>
      <c r="BB67" s="343">
        <v>0</v>
      </c>
      <c r="BC67" s="343">
        <v>0</v>
      </c>
      <c r="BD67" s="343">
        <v>0</v>
      </c>
      <c r="BE67" s="808">
        <f t="shared" si="40"/>
        <v>0</v>
      </c>
      <c r="BF67" s="211">
        <f t="shared" si="41"/>
        <v>0</v>
      </c>
      <c r="BG67" s="814">
        <v>0</v>
      </c>
      <c r="BH67" s="815">
        <v>0</v>
      </c>
      <c r="BI67" s="815">
        <v>0</v>
      </c>
      <c r="BJ67" s="815">
        <v>0</v>
      </c>
      <c r="BK67" s="815">
        <v>0</v>
      </c>
      <c r="BL67" s="815">
        <v>0</v>
      </c>
      <c r="BM67" s="808">
        <f t="shared" si="42"/>
        <v>0</v>
      </c>
      <c r="BN67" s="211">
        <f t="shared" si="43"/>
        <v>0</v>
      </c>
      <c r="BO67" s="75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808">
        <f t="shared" si="44"/>
        <v>0</v>
      </c>
      <c r="BV67" s="211">
        <f t="shared" si="45"/>
        <v>0</v>
      </c>
      <c r="BW67" s="755">
        <v>0</v>
      </c>
      <c r="BX67" s="345">
        <v>0</v>
      </c>
      <c r="BY67" s="345">
        <v>0</v>
      </c>
      <c r="BZ67" s="345">
        <v>0</v>
      </c>
      <c r="CA67" s="345">
        <v>0</v>
      </c>
      <c r="CB67" s="345">
        <v>0</v>
      </c>
      <c r="CC67" s="808">
        <f t="shared" si="46"/>
        <v>0</v>
      </c>
      <c r="CD67" s="211">
        <f t="shared" si="47"/>
        <v>0</v>
      </c>
      <c r="CE67" s="346">
        <v>0</v>
      </c>
      <c r="CF67" s="343">
        <v>0</v>
      </c>
      <c r="CG67" s="343">
        <v>0</v>
      </c>
      <c r="CH67" s="343">
        <v>0</v>
      </c>
      <c r="CI67" s="343">
        <v>122</v>
      </c>
      <c r="CJ67" s="343">
        <v>0</v>
      </c>
      <c r="CK67" s="808">
        <f t="shared" si="48"/>
        <v>122</v>
      </c>
      <c r="CL67" s="211">
        <f t="shared" si="49"/>
        <v>20.333333333333332</v>
      </c>
      <c r="CM67" s="346">
        <v>0</v>
      </c>
      <c r="CN67" s="343">
        <v>0</v>
      </c>
      <c r="CO67" s="343">
        <v>0</v>
      </c>
      <c r="CP67" s="343">
        <v>0</v>
      </c>
      <c r="CQ67" s="343">
        <v>0</v>
      </c>
      <c r="CR67" s="343">
        <v>0</v>
      </c>
      <c r="CS67" s="808">
        <f t="shared" si="50"/>
        <v>0</v>
      </c>
      <c r="CT67" s="211">
        <f t="shared" si="51"/>
        <v>0</v>
      </c>
      <c r="CU67" s="346">
        <v>0</v>
      </c>
      <c r="CV67" s="343">
        <v>0</v>
      </c>
      <c r="CW67" s="343">
        <v>0</v>
      </c>
      <c r="CX67" s="343">
        <v>0</v>
      </c>
      <c r="CY67" s="343">
        <v>0</v>
      </c>
      <c r="CZ67" s="343">
        <v>0</v>
      </c>
      <c r="DA67" s="808">
        <f t="shared" si="52"/>
        <v>0</v>
      </c>
      <c r="DB67" s="211">
        <f t="shared" si="53"/>
        <v>0</v>
      </c>
      <c r="DC67" s="346">
        <v>0</v>
      </c>
      <c r="DD67" s="343">
        <v>0</v>
      </c>
      <c r="DE67" s="343">
        <v>0</v>
      </c>
      <c r="DF67" s="343">
        <v>0</v>
      </c>
      <c r="DG67" s="343"/>
      <c r="DH67" s="343">
        <v>0</v>
      </c>
      <c r="DI67" s="808">
        <f t="shared" si="54"/>
        <v>0</v>
      </c>
      <c r="DJ67" s="211">
        <f t="shared" si="55"/>
        <v>0</v>
      </c>
      <c r="DK67" s="346">
        <v>0</v>
      </c>
      <c r="DL67" s="343">
        <v>0</v>
      </c>
      <c r="DM67" s="343">
        <v>0</v>
      </c>
      <c r="DN67" s="343">
        <v>0</v>
      </c>
      <c r="DO67" s="343">
        <v>0</v>
      </c>
      <c r="DP67" s="343">
        <v>0</v>
      </c>
      <c r="DQ67" s="808">
        <f t="shared" si="56"/>
        <v>0</v>
      </c>
      <c r="DR67" s="211">
        <f t="shared" si="57"/>
        <v>0</v>
      </c>
      <c r="DS67" s="346">
        <v>0</v>
      </c>
      <c r="DT67" s="343">
        <v>0</v>
      </c>
      <c r="DU67" s="343">
        <v>0</v>
      </c>
      <c r="DV67" s="343">
        <v>0</v>
      </c>
      <c r="DW67" s="343">
        <v>0</v>
      </c>
      <c r="DX67" s="343">
        <v>0</v>
      </c>
      <c r="DY67" s="808">
        <f t="shared" si="58"/>
        <v>0</v>
      </c>
      <c r="DZ67" s="211">
        <f t="shared" si="59"/>
        <v>0</v>
      </c>
      <c r="EA67" s="346">
        <v>0</v>
      </c>
      <c r="EB67" s="343">
        <v>0</v>
      </c>
      <c r="EC67" s="343"/>
      <c r="ED67" s="343">
        <v>0</v>
      </c>
      <c r="EE67" s="343">
        <v>0</v>
      </c>
      <c r="EF67" s="343">
        <v>0</v>
      </c>
      <c r="EG67" s="808">
        <f t="shared" si="60"/>
        <v>0</v>
      </c>
      <c r="EH67" s="211">
        <f t="shared" si="61"/>
        <v>0</v>
      </c>
      <c r="EI67" s="346">
        <v>0</v>
      </c>
      <c r="EJ67" s="343">
        <v>0</v>
      </c>
      <c r="EK67" s="343">
        <v>0</v>
      </c>
      <c r="EL67" s="343">
        <v>0</v>
      </c>
      <c r="EM67" s="343">
        <v>0</v>
      </c>
      <c r="EN67" s="343">
        <v>0</v>
      </c>
      <c r="EO67" s="808">
        <f t="shared" si="62"/>
        <v>0</v>
      </c>
      <c r="EP67" s="211">
        <f t="shared" si="63"/>
        <v>0</v>
      </c>
      <c r="EQ67" s="346">
        <v>0</v>
      </c>
      <c r="ER67" s="343">
        <v>0</v>
      </c>
      <c r="ES67" s="343">
        <v>0</v>
      </c>
      <c r="ET67" s="343">
        <v>0</v>
      </c>
      <c r="EU67" s="343">
        <v>0</v>
      </c>
      <c r="EV67" s="343">
        <v>0</v>
      </c>
      <c r="EW67" s="808">
        <f t="shared" si="64"/>
        <v>0</v>
      </c>
      <c r="EX67" s="211">
        <f t="shared" si="65"/>
        <v>0</v>
      </c>
      <c r="EY67" s="346">
        <v>0</v>
      </c>
      <c r="EZ67" s="343">
        <v>0</v>
      </c>
      <c r="FA67" s="343">
        <v>0</v>
      </c>
      <c r="FB67" s="343">
        <v>0</v>
      </c>
      <c r="FC67" s="343">
        <v>0</v>
      </c>
      <c r="FD67" s="343">
        <v>0</v>
      </c>
      <c r="FE67" s="808">
        <f t="shared" si="66"/>
        <v>0</v>
      </c>
      <c r="FF67" s="211">
        <f t="shared" si="67"/>
        <v>0</v>
      </c>
      <c r="FG67" s="755">
        <v>0</v>
      </c>
      <c r="FH67" s="345">
        <v>0</v>
      </c>
      <c r="FI67" s="345">
        <v>0</v>
      </c>
      <c r="FJ67" s="345">
        <v>0</v>
      </c>
      <c r="FK67" s="345">
        <v>0</v>
      </c>
      <c r="FL67" s="345">
        <v>0</v>
      </c>
      <c r="FM67" s="808">
        <f t="shared" si="68"/>
        <v>0</v>
      </c>
      <c r="FN67" s="211">
        <f t="shared" si="69"/>
        <v>0</v>
      </c>
      <c r="FO67" s="346">
        <v>0</v>
      </c>
      <c r="FP67" s="343">
        <v>0</v>
      </c>
      <c r="FQ67" s="343">
        <v>0</v>
      </c>
      <c r="FR67" s="343">
        <v>0</v>
      </c>
      <c r="FS67" s="343">
        <v>0</v>
      </c>
      <c r="FT67" s="343">
        <v>0</v>
      </c>
      <c r="FU67" s="808">
        <f t="shared" si="70"/>
        <v>0</v>
      </c>
      <c r="FV67" s="211">
        <f t="shared" si="71"/>
        <v>0</v>
      </c>
      <c r="FW67" s="346">
        <v>0</v>
      </c>
      <c r="FX67" s="343">
        <v>0</v>
      </c>
      <c r="FY67" s="343">
        <v>0</v>
      </c>
      <c r="FZ67" s="343">
        <v>0</v>
      </c>
      <c r="GA67" s="343">
        <v>0</v>
      </c>
      <c r="GB67" s="343">
        <v>0</v>
      </c>
      <c r="GC67" s="808">
        <f t="shared" si="72"/>
        <v>0</v>
      </c>
      <c r="GD67" s="211">
        <f t="shared" si="73"/>
        <v>0</v>
      </c>
      <c r="GE67" s="346">
        <v>0</v>
      </c>
      <c r="GF67" s="343">
        <v>0</v>
      </c>
      <c r="GG67" s="343">
        <v>0</v>
      </c>
      <c r="GH67" s="343">
        <v>0</v>
      </c>
      <c r="GI67" s="343">
        <v>0</v>
      </c>
      <c r="GJ67" s="343">
        <v>0</v>
      </c>
      <c r="GK67" s="808">
        <f t="shared" si="74"/>
        <v>0</v>
      </c>
      <c r="GL67" s="211">
        <f t="shared" si="75"/>
        <v>0</v>
      </c>
      <c r="GM67" s="755">
        <v>0</v>
      </c>
      <c r="GN67" s="345">
        <v>0</v>
      </c>
      <c r="GO67" s="345">
        <v>929</v>
      </c>
      <c r="GP67" s="345">
        <v>0</v>
      </c>
      <c r="GQ67" s="345">
        <v>0</v>
      </c>
      <c r="GR67" s="345">
        <v>0</v>
      </c>
      <c r="GS67" s="872">
        <f t="shared" si="76"/>
        <v>929</v>
      </c>
      <c r="GT67" s="873">
        <f t="shared" si="77"/>
        <v>154.83333333333334</v>
      </c>
      <c r="GU67" s="346">
        <v>0</v>
      </c>
      <c r="GV67" s="343">
        <v>0</v>
      </c>
      <c r="GW67" s="343">
        <v>0</v>
      </c>
      <c r="GX67" s="343">
        <v>0</v>
      </c>
      <c r="GY67" s="343">
        <v>0</v>
      </c>
      <c r="GZ67" s="343">
        <v>0</v>
      </c>
      <c r="HA67" s="872">
        <f t="shared" si="78"/>
        <v>0</v>
      </c>
      <c r="HB67" s="873">
        <f t="shared" si="79"/>
        <v>0</v>
      </c>
      <c r="HC67" s="346">
        <v>0</v>
      </c>
      <c r="HD67" s="343">
        <v>0</v>
      </c>
      <c r="HE67" s="343">
        <v>0</v>
      </c>
      <c r="HF67" s="343">
        <v>0</v>
      </c>
      <c r="HG67" s="343">
        <v>0</v>
      </c>
      <c r="HH67" s="343">
        <v>0</v>
      </c>
      <c r="HI67" s="872">
        <f t="shared" si="80"/>
        <v>0</v>
      </c>
      <c r="HJ67" s="873">
        <f t="shared" si="81"/>
        <v>0</v>
      </c>
      <c r="HK67" s="346">
        <v>0</v>
      </c>
      <c r="HL67" s="343">
        <v>0</v>
      </c>
      <c r="HM67" s="343">
        <v>0</v>
      </c>
      <c r="HN67" s="343">
        <v>0</v>
      </c>
      <c r="HO67" s="343">
        <v>0</v>
      </c>
      <c r="HP67" s="343">
        <v>0</v>
      </c>
      <c r="HQ67" s="872">
        <f t="shared" si="82"/>
        <v>0</v>
      </c>
      <c r="HR67" s="873">
        <f t="shared" si="83"/>
        <v>0</v>
      </c>
      <c r="HS67" s="346">
        <v>0</v>
      </c>
      <c r="HT67" s="343">
        <v>320</v>
      </c>
      <c r="HU67" s="343"/>
      <c r="HV67" s="343"/>
      <c r="HW67" s="343"/>
      <c r="HX67" s="343"/>
      <c r="HY67" s="872">
        <f t="shared" si="84"/>
        <v>320</v>
      </c>
      <c r="HZ67" s="873">
        <f t="shared" si="85"/>
        <v>53.333333333333336</v>
      </c>
    </row>
    <row r="68" spans="1:234" s="323" customFormat="1" ht="15" customHeight="1" x14ac:dyDescent="0.2">
      <c r="A68" s="21">
        <v>57</v>
      </c>
      <c r="B68" s="21" t="s">
        <v>52</v>
      </c>
      <c r="C68" s="275" t="s">
        <v>53</v>
      </c>
      <c r="D68" s="21">
        <v>25</v>
      </c>
      <c r="E68" s="24"/>
      <c r="F68" s="24">
        <v>1963</v>
      </c>
      <c r="G68" s="24"/>
      <c r="H68" s="24"/>
      <c r="I68" s="360"/>
      <c r="J68" s="360">
        <f>SUMIF(SUMPK!$B:$B,$B:$B,SUMPK!$O:$O)</f>
        <v>0</v>
      </c>
      <c r="K68" s="24"/>
      <c r="L68" s="24">
        <f t="shared" si="109"/>
        <v>1963</v>
      </c>
      <c r="M68" s="15">
        <f t="shared" si="110"/>
        <v>1963</v>
      </c>
      <c r="N68" s="15">
        <v>68.166666666666671</v>
      </c>
      <c r="O68" s="276">
        <f t="shared" si="28"/>
        <v>28.797066014669923</v>
      </c>
      <c r="P68" s="15">
        <v>123.83333333333333</v>
      </c>
      <c r="Q68" s="711">
        <f t="shared" si="29"/>
        <v>213.33333333333334</v>
      </c>
      <c r="R68" s="276">
        <f t="shared" si="30"/>
        <v>95.111709286675648</v>
      </c>
      <c r="S68" s="712">
        <f t="shared" si="31"/>
        <v>49.230769230769234</v>
      </c>
      <c r="T68" s="713">
        <v>1280</v>
      </c>
      <c r="U68" s="276">
        <f t="shared" si="92"/>
        <v>39.873437499999994</v>
      </c>
      <c r="V68" s="278"/>
      <c r="W68" s="276">
        <f t="shared" si="33"/>
        <v>39.873437499999994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343</v>
      </c>
      <c r="AG68" s="64">
        <f t="shared" si="34"/>
        <v>343</v>
      </c>
      <c r="AH68" s="211">
        <f t="shared" si="35"/>
        <v>57.166666666666664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6"/>
        <v>0</v>
      </c>
      <c r="AP68" s="809">
        <f t="shared" si="37"/>
        <v>0</v>
      </c>
      <c r="AQ68" s="814">
        <v>0</v>
      </c>
      <c r="AR68" s="815">
        <v>0</v>
      </c>
      <c r="AS68" s="815">
        <v>200</v>
      </c>
      <c r="AT68" s="815">
        <v>0</v>
      </c>
      <c r="AU68" s="815">
        <v>0</v>
      </c>
      <c r="AV68" s="815">
        <v>0</v>
      </c>
      <c r="AW68" s="808">
        <f t="shared" si="38"/>
        <v>200</v>
      </c>
      <c r="AX68" s="211">
        <f t="shared" si="39"/>
        <v>33.333333333333336</v>
      </c>
      <c r="AY68" s="346">
        <v>469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40"/>
        <v>469</v>
      </c>
      <c r="BF68" s="211">
        <f t="shared" si="41"/>
        <v>78.166666666666671</v>
      </c>
      <c r="BG68" s="814">
        <v>0</v>
      </c>
      <c r="BH68" s="815">
        <v>0</v>
      </c>
      <c r="BI68" s="815">
        <v>476</v>
      </c>
      <c r="BJ68" s="815">
        <v>0</v>
      </c>
      <c r="BK68" s="815">
        <v>0</v>
      </c>
      <c r="BL68" s="815">
        <v>0</v>
      </c>
      <c r="BM68" s="808">
        <f t="shared" si="42"/>
        <v>476</v>
      </c>
      <c r="BN68" s="211">
        <f t="shared" si="43"/>
        <v>79.333333333333329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4"/>
        <v>0</v>
      </c>
      <c r="BV68" s="211">
        <f t="shared" si="45"/>
        <v>0</v>
      </c>
      <c r="BW68" s="755">
        <v>339</v>
      </c>
      <c r="BX68" s="345">
        <v>0</v>
      </c>
      <c r="BY68" s="345">
        <v>0</v>
      </c>
      <c r="BZ68" s="345">
        <v>0</v>
      </c>
      <c r="CA68" s="345">
        <v>0</v>
      </c>
      <c r="CB68" s="345">
        <v>580</v>
      </c>
      <c r="CC68" s="808">
        <f t="shared" si="46"/>
        <v>919</v>
      </c>
      <c r="CD68" s="211">
        <f t="shared" si="47"/>
        <v>153.16666666666666</v>
      </c>
      <c r="CE68" s="346">
        <v>0</v>
      </c>
      <c r="CF68" s="343">
        <v>0</v>
      </c>
      <c r="CG68" s="343">
        <v>0</v>
      </c>
      <c r="CH68" s="343">
        <v>0</v>
      </c>
      <c r="CI68" s="343">
        <v>0</v>
      </c>
      <c r="CJ68" s="343">
        <v>0</v>
      </c>
      <c r="CK68" s="808">
        <f t="shared" si="48"/>
        <v>0</v>
      </c>
      <c r="CL68" s="211">
        <f t="shared" si="49"/>
        <v>0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50"/>
        <v>0</v>
      </c>
      <c r="CT68" s="211">
        <f t="shared" si="51"/>
        <v>0</v>
      </c>
      <c r="CU68" s="346">
        <v>184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2"/>
        <v>184</v>
      </c>
      <c r="DB68" s="211">
        <f t="shared" si="53"/>
        <v>30.666666666666668</v>
      </c>
      <c r="DC68" s="346">
        <v>180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4"/>
        <v>180</v>
      </c>
      <c r="DJ68" s="211">
        <f t="shared" si="55"/>
        <v>30</v>
      </c>
      <c r="DK68" s="346">
        <v>0</v>
      </c>
      <c r="DL68" s="343">
        <v>339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6"/>
        <v>339</v>
      </c>
      <c r="DR68" s="211">
        <f t="shared" si="57"/>
        <v>56.5</v>
      </c>
      <c r="DS68" s="346">
        <v>0</v>
      </c>
      <c r="DT68" s="343">
        <v>0</v>
      </c>
      <c r="DU68" s="343">
        <v>361</v>
      </c>
      <c r="DV68" s="343">
        <v>0</v>
      </c>
      <c r="DW68" s="343">
        <v>0</v>
      </c>
      <c r="DX68" s="343">
        <v>0</v>
      </c>
      <c r="DY68" s="808">
        <f t="shared" si="58"/>
        <v>361</v>
      </c>
      <c r="DZ68" s="211">
        <f t="shared" si="59"/>
        <v>60.166666666666664</v>
      </c>
      <c r="EA68" s="346">
        <v>0</v>
      </c>
      <c r="EB68" s="343">
        <v>301</v>
      </c>
      <c r="EC68" s="343"/>
      <c r="ED68" s="343">
        <v>0</v>
      </c>
      <c r="EE68" s="343">
        <v>0</v>
      </c>
      <c r="EF68" s="343">
        <v>0</v>
      </c>
      <c r="EG68" s="808">
        <f t="shared" si="60"/>
        <v>301</v>
      </c>
      <c r="EH68" s="211">
        <f t="shared" si="61"/>
        <v>50.166666666666664</v>
      </c>
      <c r="EI68" s="346">
        <v>0</v>
      </c>
      <c r="EJ68" s="343">
        <v>0</v>
      </c>
      <c r="EK68" s="343">
        <v>199</v>
      </c>
      <c r="EL68" s="343">
        <v>0</v>
      </c>
      <c r="EM68" s="343">
        <v>0</v>
      </c>
      <c r="EN68" s="343">
        <v>0</v>
      </c>
      <c r="EO68" s="808">
        <f t="shared" si="62"/>
        <v>199</v>
      </c>
      <c r="EP68" s="211">
        <f t="shared" si="63"/>
        <v>33.166666666666664</v>
      </c>
      <c r="EQ68" s="346">
        <v>338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4"/>
        <v>338</v>
      </c>
      <c r="EX68" s="211">
        <f t="shared" si="65"/>
        <v>56.333333333333336</v>
      </c>
      <c r="EY68" s="346">
        <v>0</v>
      </c>
      <c r="EZ68" s="343">
        <v>220</v>
      </c>
      <c r="FA68" s="343">
        <v>211</v>
      </c>
      <c r="FB68" s="343">
        <v>0</v>
      </c>
      <c r="FC68" s="343">
        <v>0</v>
      </c>
      <c r="FD68" s="343">
        <v>0</v>
      </c>
      <c r="FE68" s="808">
        <f t="shared" si="66"/>
        <v>431</v>
      </c>
      <c r="FF68" s="211">
        <f t="shared" si="67"/>
        <v>71.833333333333329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8"/>
        <v>0</v>
      </c>
      <c r="FN68" s="211">
        <f t="shared" si="69"/>
        <v>0</v>
      </c>
      <c r="FO68" s="346">
        <v>0</v>
      </c>
      <c r="FP68" s="343">
        <v>0</v>
      </c>
      <c r="FQ68" s="343">
        <v>558</v>
      </c>
      <c r="FR68" s="343">
        <v>0</v>
      </c>
      <c r="FS68" s="343">
        <v>0</v>
      </c>
      <c r="FT68" s="343">
        <v>0</v>
      </c>
      <c r="FU68" s="808">
        <f t="shared" si="70"/>
        <v>558</v>
      </c>
      <c r="FV68" s="211">
        <f t="shared" si="71"/>
        <v>93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2"/>
        <v>0</v>
      </c>
      <c r="GD68" s="211">
        <f t="shared" si="73"/>
        <v>0</v>
      </c>
      <c r="GE68" s="346">
        <v>54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4"/>
        <v>54</v>
      </c>
      <c r="GL68" s="211">
        <f t="shared" si="75"/>
        <v>9</v>
      </c>
      <c r="GM68" s="755">
        <v>0</v>
      </c>
      <c r="GN68" s="345">
        <v>0</v>
      </c>
      <c r="GO68" s="345">
        <v>341</v>
      </c>
      <c r="GP68" s="345">
        <v>0</v>
      </c>
      <c r="GQ68" s="345">
        <v>0</v>
      </c>
      <c r="GR68" s="345">
        <v>0</v>
      </c>
      <c r="GS68" s="872">
        <f t="shared" si="76"/>
        <v>341</v>
      </c>
      <c r="GT68" s="873">
        <f t="shared" si="77"/>
        <v>56.833333333333336</v>
      </c>
      <c r="GU68" s="346">
        <v>0</v>
      </c>
      <c r="GV68" s="343">
        <v>234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8"/>
        <v>234</v>
      </c>
      <c r="HB68" s="873">
        <f t="shared" si="79"/>
        <v>39</v>
      </c>
      <c r="HC68" s="346">
        <v>0</v>
      </c>
      <c r="HD68" s="343">
        <v>0</v>
      </c>
      <c r="HE68" s="343">
        <v>0</v>
      </c>
      <c r="HF68" s="343">
        <v>344</v>
      </c>
      <c r="HG68" s="343">
        <v>0</v>
      </c>
      <c r="HH68" s="343">
        <v>0</v>
      </c>
      <c r="HI68" s="872">
        <f t="shared" si="80"/>
        <v>344</v>
      </c>
      <c r="HJ68" s="873">
        <f t="shared" si="81"/>
        <v>57.333333333333336</v>
      </c>
      <c r="HK68" s="346">
        <v>0</v>
      </c>
      <c r="HL68" s="343">
        <v>0</v>
      </c>
      <c r="HM68" s="343">
        <v>0</v>
      </c>
      <c r="HN68" s="343">
        <v>409</v>
      </c>
      <c r="HO68" s="343">
        <v>0</v>
      </c>
      <c r="HP68" s="343">
        <v>0</v>
      </c>
      <c r="HQ68" s="872">
        <f t="shared" si="82"/>
        <v>409</v>
      </c>
      <c r="HR68" s="873">
        <f t="shared" si="83"/>
        <v>68.166666666666671</v>
      </c>
      <c r="HS68" s="346">
        <v>0</v>
      </c>
      <c r="HT68" s="343">
        <v>0</v>
      </c>
      <c r="HU68" s="343"/>
      <c r="HV68" s="343"/>
      <c r="HW68" s="343"/>
      <c r="HX68" s="343"/>
      <c r="HY68" s="872">
        <f t="shared" si="84"/>
        <v>0</v>
      </c>
      <c r="HZ68" s="873">
        <f t="shared" si="85"/>
        <v>0</v>
      </c>
    </row>
    <row r="69" spans="1:234" s="323" customFormat="1" ht="15" customHeight="1" x14ac:dyDescent="0.2">
      <c r="A69" s="21">
        <v>58</v>
      </c>
      <c r="B69" s="21" t="s">
        <v>109</v>
      </c>
      <c r="C69" s="275" t="s">
        <v>110</v>
      </c>
      <c r="D69" s="21">
        <v>25</v>
      </c>
      <c r="E69" s="24"/>
      <c r="F69" s="24">
        <v>2430</v>
      </c>
      <c r="G69" s="24"/>
      <c r="H69" s="24"/>
      <c r="I69" s="360"/>
      <c r="J69" s="360">
        <f>SUMIF(SUMPK!$B:$B,$B:$B,SUMPK!$O:$O)</f>
        <v>0</v>
      </c>
      <c r="K69" s="24"/>
      <c r="L69" s="24">
        <f t="shared" si="86"/>
        <v>2430</v>
      </c>
      <c r="M69" s="15">
        <f t="shared" si="27"/>
        <v>2430</v>
      </c>
      <c r="N69" s="15">
        <v>0</v>
      </c>
      <c r="O69" s="276">
        <f t="shared" si="28"/>
        <v>0</v>
      </c>
      <c r="P69" s="15">
        <v>0</v>
      </c>
      <c r="Q69" s="711">
        <f t="shared" si="29"/>
        <v>320</v>
      </c>
      <c r="R69" s="276">
        <f t="shared" si="30"/>
        <v>0</v>
      </c>
      <c r="S69" s="712">
        <f t="shared" si="31"/>
        <v>73.84615384615384</v>
      </c>
      <c r="T69" s="713">
        <v>1920</v>
      </c>
      <c r="U69" s="276">
        <f t="shared" si="92"/>
        <v>32.90625</v>
      </c>
      <c r="V69" s="278"/>
      <c r="W69" s="276">
        <f t="shared" si="33"/>
        <v>32.90625</v>
      </c>
      <c r="X69" s="279">
        <f t="shared" si="0"/>
        <v>1</v>
      </c>
      <c r="Y69" s="305">
        <v>18</v>
      </c>
      <c r="Z69" s="721"/>
      <c r="AA69" s="244">
        <v>349</v>
      </c>
      <c r="AB69" s="64">
        <v>0</v>
      </c>
      <c r="AC69" s="64">
        <v>0</v>
      </c>
      <c r="AD69" s="64">
        <v>0</v>
      </c>
      <c r="AE69" s="64">
        <v>0</v>
      </c>
      <c r="AF69" s="64">
        <v>0</v>
      </c>
      <c r="AG69" s="64">
        <f t="shared" si="34"/>
        <v>349</v>
      </c>
      <c r="AH69" s="211">
        <f t="shared" si="35"/>
        <v>58.166666666666664</v>
      </c>
      <c r="AI69" s="755">
        <v>0</v>
      </c>
      <c r="AJ69" s="345">
        <v>726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6"/>
        <v>726</v>
      </c>
      <c r="AP69" s="809">
        <f t="shared" si="37"/>
        <v>121</v>
      </c>
      <c r="AQ69" s="814">
        <v>0</v>
      </c>
      <c r="AR69" s="815">
        <v>0</v>
      </c>
      <c r="AS69" s="815">
        <v>0</v>
      </c>
      <c r="AT69" s="815">
        <v>0</v>
      </c>
      <c r="AU69" s="815">
        <v>0</v>
      </c>
      <c r="AV69" s="815">
        <v>0</v>
      </c>
      <c r="AW69" s="808">
        <f t="shared" si="38"/>
        <v>0</v>
      </c>
      <c r="AX69" s="211">
        <f t="shared" si="39"/>
        <v>0</v>
      </c>
      <c r="AY69" s="346">
        <v>200</v>
      </c>
      <c r="AZ69" s="343">
        <v>487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40"/>
        <v>687</v>
      </c>
      <c r="BF69" s="211">
        <f t="shared" si="41"/>
        <v>114.5</v>
      </c>
      <c r="BG69" s="814">
        <v>0</v>
      </c>
      <c r="BH69" s="815">
        <v>0</v>
      </c>
      <c r="BI69" s="815">
        <v>0</v>
      </c>
      <c r="BJ69" s="815">
        <v>0</v>
      </c>
      <c r="BK69" s="815">
        <v>0</v>
      </c>
      <c r="BL69" s="815">
        <v>682</v>
      </c>
      <c r="BM69" s="808">
        <f t="shared" si="42"/>
        <v>682</v>
      </c>
      <c r="BN69" s="211">
        <f t="shared" si="43"/>
        <v>113.66666666666667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361</v>
      </c>
      <c r="BU69" s="808">
        <f t="shared" si="44"/>
        <v>361</v>
      </c>
      <c r="BV69" s="211">
        <f t="shared" si="45"/>
        <v>60.166666666666664</v>
      </c>
      <c r="BW69" s="755">
        <v>0</v>
      </c>
      <c r="BX69" s="345">
        <v>0</v>
      </c>
      <c r="BY69" s="345">
        <v>0</v>
      </c>
      <c r="BZ69" s="345">
        <v>0</v>
      </c>
      <c r="CA69" s="345">
        <v>0</v>
      </c>
      <c r="CB69" s="345">
        <v>664</v>
      </c>
      <c r="CC69" s="808">
        <f t="shared" si="46"/>
        <v>664</v>
      </c>
      <c r="CD69" s="211">
        <f t="shared" si="47"/>
        <v>110.66666666666667</v>
      </c>
      <c r="CE69" s="346">
        <v>0</v>
      </c>
      <c r="CF69" s="343">
        <v>0</v>
      </c>
      <c r="CG69" s="343">
        <v>400</v>
      </c>
      <c r="CH69" s="343">
        <v>0</v>
      </c>
      <c r="CI69" s="343">
        <v>0</v>
      </c>
      <c r="CJ69" s="343">
        <v>0</v>
      </c>
      <c r="CK69" s="808">
        <f t="shared" si="48"/>
        <v>400</v>
      </c>
      <c r="CL69" s="211">
        <f t="shared" si="49"/>
        <v>66.666666666666671</v>
      </c>
      <c r="CM69" s="346">
        <v>0</v>
      </c>
      <c r="CN69" s="343">
        <v>573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50"/>
        <v>573</v>
      </c>
      <c r="CT69" s="211">
        <f t="shared" si="51"/>
        <v>95.5</v>
      </c>
      <c r="CU69" s="346">
        <v>563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2"/>
        <v>563</v>
      </c>
      <c r="DB69" s="211">
        <f t="shared" si="53"/>
        <v>93.833333333333329</v>
      </c>
      <c r="DC69" s="346">
        <v>667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4"/>
        <v>667</v>
      </c>
      <c r="DJ69" s="211">
        <f t="shared" si="55"/>
        <v>111.16666666666667</v>
      </c>
      <c r="DK69" s="346">
        <v>0</v>
      </c>
      <c r="DL69" s="343">
        <v>0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6"/>
        <v>0</v>
      </c>
      <c r="DR69" s="211">
        <f t="shared" si="57"/>
        <v>0</v>
      </c>
      <c r="DS69" s="346">
        <v>0</v>
      </c>
      <c r="DT69" s="343">
        <v>440</v>
      </c>
      <c r="DU69" s="343">
        <v>255</v>
      </c>
      <c r="DV69" s="343">
        <v>0</v>
      </c>
      <c r="DW69" s="343">
        <v>269</v>
      </c>
      <c r="DX69" s="343">
        <v>0</v>
      </c>
      <c r="DY69" s="808">
        <f t="shared" si="58"/>
        <v>964</v>
      </c>
      <c r="DZ69" s="211">
        <f t="shared" si="59"/>
        <v>160.66666666666666</v>
      </c>
      <c r="EA69" s="346">
        <v>0</v>
      </c>
      <c r="EB69" s="343">
        <v>0</v>
      </c>
      <c r="EC69" s="343"/>
      <c r="ED69" s="343">
        <v>0</v>
      </c>
      <c r="EE69" s="343">
        <v>0</v>
      </c>
      <c r="EF69" s="343">
        <v>685</v>
      </c>
      <c r="EG69" s="808">
        <f t="shared" si="60"/>
        <v>685</v>
      </c>
      <c r="EH69" s="211">
        <f t="shared" si="61"/>
        <v>114.16666666666667</v>
      </c>
      <c r="EI69" s="346">
        <v>0</v>
      </c>
      <c r="EJ69" s="343">
        <v>0</v>
      </c>
      <c r="EK69" s="343">
        <v>610</v>
      </c>
      <c r="EL69" s="343">
        <v>0</v>
      </c>
      <c r="EM69" s="343">
        <v>0</v>
      </c>
      <c r="EN69" s="343">
        <v>0</v>
      </c>
      <c r="EO69" s="808">
        <f t="shared" si="62"/>
        <v>610</v>
      </c>
      <c r="EP69" s="211">
        <f t="shared" si="63"/>
        <v>101.66666666666667</v>
      </c>
      <c r="EQ69" s="346">
        <v>319</v>
      </c>
      <c r="ER69" s="343">
        <v>0</v>
      </c>
      <c r="ES69" s="343">
        <v>0</v>
      </c>
      <c r="ET69" s="343">
        <v>0</v>
      </c>
      <c r="EU69" s="343">
        <v>338</v>
      </c>
      <c r="EV69" s="343">
        <v>0</v>
      </c>
      <c r="EW69" s="808">
        <f t="shared" si="64"/>
        <v>657</v>
      </c>
      <c r="EX69" s="211">
        <f t="shared" si="65"/>
        <v>109.5</v>
      </c>
      <c r="EY69" s="346">
        <v>0</v>
      </c>
      <c r="EZ69" s="343">
        <v>0</v>
      </c>
      <c r="FA69" s="343">
        <v>728</v>
      </c>
      <c r="FB69" s="343">
        <v>0</v>
      </c>
      <c r="FC69" s="343">
        <v>0</v>
      </c>
      <c r="FD69" s="343">
        <v>0</v>
      </c>
      <c r="FE69" s="808">
        <f t="shared" si="66"/>
        <v>728</v>
      </c>
      <c r="FF69" s="211">
        <f t="shared" si="67"/>
        <v>121.33333333333333</v>
      </c>
      <c r="FG69" s="755">
        <v>0</v>
      </c>
      <c r="FH69" s="345">
        <v>0</v>
      </c>
      <c r="FI69" s="345">
        <v>691</v>
      </c>
      <c r="FJ69" s="345">
        <v>0</v>
      </c>
      <c r="FK69" s="345">
        <v>0</v>
      </c>
      <c r="FL69" s="345">
        <v>690</v>
      </c>
      <c r="FM69" s="808">
        <f t="shared" si="68"/>
        <v>1381</v>
      </c>
      <c r="FN69" s="211">
        <f t="shared" si="69"/>
        <v>230.16666666666666</v>
      </c>
      <c r="FO69" s="346">
        <v>0</v>
      </c>
      <c r="FP69" s="343">
        <v>0</v>
      </c>
      <c r="FQ69" s="343">
        <v>0</v>
      </c>
      <c r="FR69" s="343">
        <v>0</v>
      </c>
      <c r="FS69" s="343">
        <v>0</v>
      </c>
      <c r="FT69" s="343">
        <v>0</v>
      </c>
      <c r="FU69" s="808">
        <f t="shared" si="70"/>
        <v>0</v>
      </c>
      <c r="FV69" s="211">
        <f t="shared" si="71"/>
        <v>0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2"/>
        <v>0</v>
      </c>
      <c r="GD69" s="211">
        <f t="shared" si="73"/>
        <v>0</v>
      </c>
      <c r="GE69" s="346">
        <v>0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4"/>
        <v>0</v>
      </c>
      <c r="GL69" s="211">
        <f t="shared" si="75"/>
        <v>0</v>
      </c>
      <c r="GM69" s="755">
        <v>0</v>
      </c>
      <c r="GN69" s="345">
        <v>0</v>
      </c>
      <c r="GO69" s="345">
        <v>0</v>
      </c>
      <c r="GP69" s="345">
        <v>0</v>
      </c>
      <c r="GQ69" s="345">
        <v>0</v>
      </c>
      <c r="GR69" s="345">
        <v>0</v>
      </c>
      <c r="GS69" s="872">
        <f t="shared" si="76"/>
        <v>0</v>
      </c>
      <c r="GT69" s="873">
        <f t="shared" si="77"/>
        <v>0</v>
      </c>
      <c r="GU69" s="346">
        <v>0</v>
      </c>
      <c r="GV69" s="343">
        <v>1046</v>
      </c>
      <c r="GW69" s="343">
        <v>367</v>
      </c>
      <c r="GX69" s="343">
        <v>0</v>
      </c>
      <c r="GY69" s="343">
        <v>0</v>
      </c>
      <c r="GZ69" s="343">
        <v>472</v>
      </c>
      <c r="HA69" s="872">
        <f t="shared" si="78"/>
        <v>1885</v>
      </c>
      <c r="HB69" s="873">
        <f t="shared" si="79"/>
        <v>314.16666666666669</v>
      </c>
      <c r="HC69" s="346">
        <v>453</v>
      </c>
      <c r="HD69" s="343">
        <v>0</v>
      </c>
      <c r="HE69" s="343">
        <v>440</v>
      </c>
      <c r="HF69" s="343">
        <v>260</v>
      </c>
      <c r="HG69" s="343">
        <v>0</v>
      </c>
      <c r="HH69" s="343">
        <v>0</v>
      </c>
      <c r="HI69" s="872">
        <f t="shared" si="80"/>
        <v>1153</v>
      </c>
      <c r="HJ69" s="873">
        <f t="shared" si="81"/>
        <v>192.16666666666666</v>
      </c>
      <c r="HK69" s="346">
        <v>0</v>
      </c>
      <c r="HL69" s="343">
        <v>0</v>
      </c>
      <c r="HM69" s="343">
        <v>0</v>
      </c>
      <c r="HN69" s="343">
        <v>0</v>
      </c>
      <c r="HO69" s="343">
        <v>0</v>
      </c>
      <c r="HP69" s="343">
        <v>0</v>
      </c>
      <c r="HQ69" s="872">
        <f t="shared" si="82"/>
        <v>0</v>
      </c>
      <c r="HR69" s="873">
        <f t="shared" si="83"/>
        <v>0</v>
      </c>
      <c r="HS69" s="346">
        <v>0</v>
      </c>
      <c r="HT69" s="343">
        <v>0</v>
      </c>
      <c r="HU69" s="343"/>
      <c r="HV69" s="343"/>
      <c r="HW69" s="343"/>
      <c r="HX69" s="343"/>
      <c r="HY69" s="872">
        <f t="shared" si="84"/>
        <v>0</v>
      </c>
      <c r="HZ69" s="873">
        <f t="shared" si="85"/>
        <v>0</v>
      </c>
    </row>
    <row r="70" spans="1:234" s="323" customFormat="1" ht="15" customHeight="1" x14ac:dyDescent="0.2">
      <c r="A70" s="21">
        <v>59</v>
      </c>
      <c r="B70" s="21" t="s">
        <v>111</v>
      </c>
      <c r="C70" s="275" t="s">
        <v>112</v>
      </c>
      <c r="D70" s="21">
        <v>25</v>
      </c>
      <c r="E70" s="24"/>
      <c r="F70" s="24">
        <v>3048</v>
      </c>
      <c r="G70" s="24"/>
      <c r="H70" s="24"/>
      <c r="I70" s="360"/>
      <c r="J70" s="360">
        <f>SUMIF(SUMPK!$B:$B,$B:$B,SUMPK!$O:$O)</f>
        <v>1711</v>
      </c>
      <c r="K70" s="24"/>
      <c r="L70" s="24">
        <f t="shared" si="86"/>
        <v>1337</v>
      </c>
      <c r="M70" s="15">
        <f t="shared" si="27"/>
        <v>1337</v>
      </c>
      <c r="N70" s="15">
        <v>278</v>
      </c>
      <c r="O70" s="276">
        <f t="shared" si="28"/>
        <v>4.8093525179856114</v>
      </c>
      <c r="P70" s="15">
        <v>323.16666666666669</v>
      </c>
      <c r="Q70" s="711">
        <f t="shared" si="29"/>
        <v>1333.3333333333333</v>
      </c>
      <c r="R70" s="276">
        <f t="shared" si="30"/>
        <v>24.823104693140795</v>
      </c>
      <c r="S70" s="712">
        <f t="shared" si="31"/>
        <v>307.69230769230768</v>
      </c>
      <c r="T70" s="713">
        <v>8000</v>
      </c>
      <c r="U70" s="276">
        <f t="shared" si="92"/>
        <v>4.3452500000000001</v>
      </c>
      <c r="V70" s="278"/>
      <c r="W70" s="276">
        <f t="shared" si="33"/>
        <v>4.3452500000000001</v>
      </c>
      <c r="X70" s="279">
        <f t="shared" si="0"/>
        <v>1</v>
      </c>
      <c r="Y70" s="305">
        <v>16</v>
      </c>
      <c r="Z70" s="721"/>
      <c r="AA70" s="244">
        <v>800</v>
      </c>
      <c r="AB70" s="64">
        <v>0</v>
      </c>
      <c r="AC70" s="64">
        <v>597</v>
      </c>
      <c r="AD70" s="64">
        <v>0</v>
      </c>
      <c r="AE70" s="64">
        <v>0</v>
      </c>
      <c r="AF70" s="64">
        <v>1662</v>
      </c>
      <c r="AG70" s="64">
        <f t="shared" si="34"/>
        <v>3059</v>
      </c>
      <c r="AH70" s="211">
        <f t="shared" si="35"/>
        <v>509.83333333333331</v>
      </c>
      <c r="AI70" s="75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6"/>
        <v>0</v>
      </c>
      <c r="AP70" s="809">
        <f t="shared" si="37"/>
        <v>0</v>
      </c>
      <c r="AQ70" s="814">
        <v>0</v>
      </c>
      <c r="AR70" s="815">
        <v>0</v>
      </c>
      <c r="AS70" s="815">
        <v>500</v>
      </c>
      <c r="AT70" s="815">
        <v>1230</v>
      </c>
      <c r="AU70" s="815">
        <v>0</v>
      </c>
      <c r="AV70" s="815">
        <v>0</v>
      </c>
      <c r="AW70" s="808">
        <f t="shared" si="38"/>
        <v>1730</v>
      </c>
      <c r="AX70" s="211">
        <f t="shared" si="39"/>
        <v>288.33333333333331</v>
      </c>
      <c r="AY70" s="346">
        <v>0</v>
      </c>
      <c r="AZ70" s="343">
        <v>1604</v>
      </c>
      <c r="BA70" s="343">
        <v>101</v>
      </c>
      <c r="BB70" s="343">
        <v>0</v>
      </c>
      <c r="BC70" s="343">
        <v>0</v>
      </c>
      <c r="BD70" s="343">
        <v>0</v>
      </c>
      <c r="BE70" s="808">
        <f t="shared" si="40"/>
        <v>1705</v>
      </c>
      <c r="BF70" s="211">
        <f t="shared" si="41"/>
        <v>284.16666666666669</v>
      </c>
      <c r="BG70" s="814">
        <v>0</v>
      </c>
      <c r="BH70" s="815">
        <v>704</v>
      </c>
      <c r="BI70" s="815">
        <v>201</v>
      </c>
      <c r="BJ70" s="815">
        <v>508</v>
      </c>
      <c r="BK70" s="815">
        <v>0</v>
      </c>
      <c r="BL70" s="815">
        <v>0</v>
      </c>
      <c r="BM70" s="808">
        <f t="shared" si="42"/>
        <v>1413</v>
      </c>
      <c r="BN70" s="211">
        <f t="shared" si="43"/>
        <v>235.5</v>
      </c>
      <c r="BO70" s="755">
        <v>0</v>
      </c>
      <c r="BP70" s="345">
        <v>100</v>
      </c>
      <c r="BQ70" s="345">
        <v>1702</v>
      </c>
      <c r="BR70" s="345">
        <v>185</v>
      </c>
      <c r="BS70" s="345">
        <v>0</v>
      </c>
      <c r="BT70" s="345">
        <v>0</v>
      </c>
      <c r="BU70" s="808">
        <f t="shared" si="44"/>
        <v>1987</v>
      </c>
      <c r="BV70" s="211">
        <f t="shared" si="45"/>
        <v>331.16666666666669</v>
      </c>
      <c r="BW70" s="755">
        <v>1430</v>
      </c>
      <c r="BX70" s="345">
        <v>592</v>
      </c>
      <c r="BY70" s="345">
        <v>0</v>
      </c>
      <c r="BZ70" s="345">
        <v>0</v>
      </c>
      <c r="CA70" s="345">
        <v>0</v>
      </c>
      <c r="CB70" s="345">
        <v>0</v>
      </c>
      <c r="CC70" s="808">
        <f t="shared" si="46"/>
        <v>2022</v>
      </c>
      <c r="CD70" s="211">
        <f t="shared" si="47"/>
        <v>337</v>
      </c>
      <c r="CE70" s="346">
        <v>0</v>
      </c>
      <c r="CF70" s="343">
        <v>0</v>
      </c>
      <c r="CG70" s="343">
        <v>1635</v>
      </c>
      <c r="CH70" s="343">
        <v>0</v>
      </c>
      <c r="CI70" s="343">
        <v>0</v>
      </c>
      <c r="CJ70" s="343">
        <v>0</v>
      </c>
      <c r="CK70" s="808">
        <f t="shared" si="48"/>
        <v>1635</v>
      </c>
      <c r="CL70" s="211">
        <f t="shared" si="49"/>
        <v>272.5</v>
      </c>
      <c r="CM70" s="346">
        <v>0</v>
      </c>
      <c r="CN70" s="343">
        <v>712</v>
      </c>
      <c r="CO70" s="343">
        <v>0</v>
      </c>
      <c r="CP70" s="343">
        <v>0</v>
      </c>
      <c r="CQ70" s="343">
        <v>0</v>
      </c>
      <c r="CR70" s="343">
        <v>1341</v>
      </c>
      <c r="CS70" s="808">
        <f t="shared" si="50"/>
        <v>2053</v>
      </c>
      <c r="CT70" s="211">
        <f t="shared" si="51"/>
        <v>342.16666666666669</v>
      </c>
      <c r="CU70" s="346">
        <v>704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2"/>
        <v>704</v>
      </c>
      <c r="DB70" s="211">
        <f t="shared" si="53"/>
        <v>117.33333333333333</v>
      </c>
      <c r="DC70" s="346">
        <v>1530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4"/>
        <v>1530</v>
      </c>
      <c r="DJ70" s="211">
        <f t="shared" si="55"/>
        <v>255</v>
      </c>
      <c r="DK70" s="346">
        <v>0</v>
      </c>
      <c r="DL70" s="343">
        <v>800</v>
      </c>
      <c r="DM70" s="343">
        <v>464</v>
      </c>
      <c r="DN70" s="343">
        <v>0</v>
      </c>
      <c r="DO70" s="343">
        <v>0</v>
      </c>
      <c r="DP70" s="343">
        <v>0</v>
      </c>
      <c r="DQ70" s="808">
        <f t="shared" si="56"/>
        <v>1264</v>
      </c>
      <c r="DR70" s="211">
        <f t="shared" si="57"/>
        <v>210.66666666666666</v>
      </c>
      <c r="DS70" s="346">
        <v>943</v>
      </c>
      <c r="DT70" s="343">
        <v>0</v>
      </c>
      <c r="DU70" s="343">
        <v>0</v>
      </c>
      <c r="DV70" s="343">
        <v>2025</v>
      </c>
      <c r="DW70" s="343">
        <v>0</v>
      </c>
      <c r="DX70" s="343">
        <v>0</v>
      </c>
      <c r="DY70" s="808">
        <f t="shared" si="58"/>
        <v>2968</v>
      </c>
      <c r="DZ70" s="211">
        <f t="shared" si="59"/>
        <v>494.66666666666669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1618</v>
      </c>
      <c r="EG70" s="808">
        <f t="shared" si="60"/>
        <v>1618</v>
      </c>
      <c r="EH70" s="211">
        <f t="shared" si="61"/>
        <v>269.66666666666669</v>
      </c>
      <c r="EI70" s="346">
        <v>0</v>
      </c>
      <c r="EJ70" s="343">
        <v>0</v>
      </c>
      <c r="EK70" s="343">
        <v>728</v>
      </c>
      <c r="EL70" s="343">
        <v>0</v>
      </c>
      <c r="EM70" s="343"/>
      <c r="EN70" s="343">
        <v>0</v>
      </c>
      <c r="EO70" s="808">
        <f t="shared" si="62"/>
        <v>728</v>
      </c>
      <c r="EP70" s="211">
        <f t="shared" si="63"/>
        <v>121.33333333333333</v>
      </c>
      <c r="EQ70" s="346">
        <v>0</v>
      </c>
      <c r="ER70" s="343">
        <v>2075</v>
      </c>
      <c r="ES70" s="343">
        <v>0</v>
      </c>
      <c r="ET70" s="343">
        <v>0</v>
      </c>
      <c r="EU70" s="343">
        <v>0</v>
      </c>
      <c r="EV70" s="343">
        <v>0</v>
      </c>
      <c r="EW70" s="808">
        <f t="shared" si="64"/>
        <v>2075</v>
      </c>
      <c r="EX70" s="211">
        <f t="shared" si="65"/>
        <v>345.83333333333331</v>
      </c>
      <c r="EY70" s="346">
        <v>0</v>
      </c>
      <c r="EZ70" s="343">
        <v>0</v>
      </c>
      <c r="FA70" s="343">
        <v>730</v>
      </c>
      <c r="FB70" s="343">
        <v>1198</v>
      </c>
      <c r="FC70" s="343">
        <v>0</v>
      </c>
      <c r="FD70" s="343">
        <v>0</v>
      </c>
      <c r="FE70" s="808">
        <f t="shared" si="66"/>
        <v>1928</v>
      </c>
      <c r="FF70" s="211">
        <f t="shared" si="67"/>
        <v>321.33333333333331</v>
      </c>
      <c r="FG70" s="755">
        <v>0</v>
      </c>
      <c r="FH70" s="345">
        <v>0</v>
      </c>
      <c r="FI70" s="345">
        <v>1027</v>
      </c>
      <c r="FJ70" s="345">
        <v>0</v>
      </c>
      <c r="FK70" s="345">
        <v>0</v>
      </c>
      <c r="FL70" s="345">
        <v>880</v>
      </c>
      <c r="FM70" s="808">
        <f t="shared" si="68"/>
        <v>1907</v>
      </c>
      <c r="FN70" s="211">
        <f t="shared" si="69"/>
        <v>317.83333333333331</v>
      </c>
      <c r="FO70" s="346">
        <v>1517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70"/>
        <v>1517</v>
      </c>
      <c r="FV70" s="211">
        <f t="shared" si="71"/>
        <v>252.83333333333334</v>
      </c>
      <c r="FW70" s="346">
        <v>0</v>
      </c>
      <c r="FX70" s="343">
        <v>0</v>
      </c>
      <c r="FY70" s="343">
        <v>0</v>
      </c>
      <c r="FZ70" s="343">
        <v>1410</v>
      </c>
      <c r="GA70" s="343">
        <v>0</v>
      </c>
      <c r="GB70" s="343">
        <v>1100</v>
      </c>
      <c r="GC70" s="808">
        <f t="shared" si="72"/>
        <v>2510</v>
      </c>
      <c r="GD70" s="211">
        <f t="shared" si="73"/>
        <v>418.33333333333331</v>
      </c>
      <c r="GE70" s="346">
        <v>1013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4"/>
        <v>1013</v>
      </c>
      <c r="GL70" s="211">
        <f t="shared" si="75"/>
        <v>168.83333333333334</v>
      </c>
      <c r="GM70" s="755">
        <v>0</v>
      </c>
      <c r="GN70" s="345">
        <v>1362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6"/>
        <v>1362</v>
      </c>
      <c r="GT70" s="873">
        <f t="shared" si="77"/>
        <v>227</v>
      </c>
      <c r="GU70" s="346">
        <v>0</v>
      </c>
      <c r="GV70" s="343">
        <v>2045</v>
      </c>
      <c r="GW70" s="343">
        <v>0</v>
      </c>
      <c r="GX70" s="343">
        <v>0</v>
      </c>
      <c r="GY70" s="343">
        <v>0</v>
      </c>
      <c r="GZ70" s="343"/>
      <c r="HA70" s="872">
        <f t="shared" si="78"/>
        <v>2045</v>
      </c>
      <c r="HB70" s="873">
        <f t="shared" si="79"/>
        <v>340.83333333333331</v>
      </c>
      <c r="HC70" s="349"/>
      <c r="HD70" s="350">
        <v>0</v>
      </c>
      <c r="HE70" s="350">
        <v>0</v>
      </c>
      <c r="HF70" s="350">
        <v>1984</v>
      </c>
      <c r="HG70" s="350">
        <v>0</v>
      </c>
      <c r="HH70" s="350">
        <v>0</v>
      </c>
      <c r="HI70" s="878">
        <f t="shared" si="80"/>
        <v>1984</v>
      </c>
      <c r="HJ70" s="879">
        <f t="shared" si="81"/>
        <v>330.66666666666669</v>
      </c>
      <c r="HK70" s="349">
        <v>0</v>
      </c>
      <c r="HL70" s="350">
        <v>0</v>
      </c>
      <c r="HM70" s="350">
        <v>0</v>
      </c>
      <c r="HN70" s="350">
        <v>1668</v>
      </c>
      <c r="HO70" s="350">
        <v>0</v>
      </c>
      <c r="HP70" s="350">
        <v>0</v>
      </c>
      <c r="HQ70" s="878">
        <f t="shared" si="82"/>
        <v>1668</v>
      </c>
      <c r="HR70" s="879">
        <f t="shared" si="83"/>
        <v>278</v>
      </c>
      <c r="HS70" s="349">
        <v>0</v>
      </c>
      <c r="HT70" s="350">
        <v>0</v>
      </c>
      <c r="HU70" s="350"/>
      <c r="HV70" s="350"/>
      <c r="HW70" s="350"/>
      <c r="HX70" s="350"/>
      <c r="HY70" s="878">
        <f t="shared" si="84"/>
        <v>0</v>
      </c>
      <c r="HZ70" s="879">
        <f t="shared" si="85"/>
        <v>0</v>
      </c>
    </row>
    <row r="71" spans="1:234" s="323" customFormat="1" ht="15" hidden="1" customHeight="1" x14ac:dyDescent="0.2">
      <c r="A71" s="21">
        <v>61</v>
      </c>
      <c r="B71" s="21" t="s">
        <v>284</v>
      </c>
      <c r="C71" s="275" t="s">
        <v>301</v>
      </c>
      <c r="D71" s="21">
        <v>25</v>
      </c>
      <c r="E71" s="24"/>
      <c r="F71" s="24">
        <v>0</v>
      </c>
      <c r="G71" s="24"/>
      <c r="H71" s="24"/>
      <c r="I71" s="360"/>
      <c r="J71" s="360">
        <f>SUMIF(SUMPK!$B:$B,$B:$B,SUMPK!$O:$O)</f>
        <v>0</v>
      </c>
      <c r="K71" s="24"/>
      <c r="L71" s="24">
        <f t="shared" ref="L71" si="111">F71+H71-J71</f>
        <v>0</v>
      </c>
      <c r="M71" s="15">
        <f t="shared" ref="M71" si="112">K71+L71</f>
        <v>0</v>
      </c>
      <c r="N71" s="15">
        <v>284.5</v>
      </c>
      <c r="O71" s="276">
        <f t="shared" si="28"/>
        <v>0</v>
      </c>
      <c r="P71" s="15"/>
      <c r="Q71" s="711"/>
      <c r="R71" s="276"/>
      <c r="S71" s="712">
        <f t="shared" si="31"/>
        <v>0</v>
      </c>
      <c r="T71" s="713"/>
      <c r="U71" s="276">
        <f t="shared" ref="U71:U72" si="113">IF(S71=0,0,M71/S71)</f>
        <v>0</v>
      </c>
      <c r="V71" s="278"/>
      <c r="W71" s="276">
        <f t="shared" si="33"/>
        <v>0</v>
      </c>
      <c r="X71" s="279" t="e">
        <f t="shared" si="0"/>
        <v>#DIV/0!</v>
      </c>
      <c r="Y71" s="305">
        <v>19</v>
      </c>
      <c r="Z71" s="721"/>
      <c r="AA71" s="244">
        <v>0</v>
      </c>
      <c r="AB71" s="64">
        <v>0</v>
      </c>
      <c r="AC71" s="64">
        <v>0</v>
      </c>
      <c r="AD71" s="64">
        <v>0</v>
      </c>
      <c r="AE71" s="64">
        <v>0</v>
      </c>
      <c r="AF71" s="64">
        <v>0</v>
      </c>
      <c r="AG71" s="64">
        <f t="shared" si="34"/>
        <v>0</v>
      </c>
      <c r="AH71" s="211">
        <f t="shared" si="35"/>
        <v>0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6"/>
        <v>0</v>
      </c>
      <c r="AP71" s="809">
        <f t="shared" si="37"/>
        <v>0</v>
      </c>
      <c r="AQ71" s="814">
        <v>0</v>
      </c>
      <c r="AR71" s="815">
        <v>0</v>
      </c>
      <c r="AS71" s="815">
        <v>0</v>
      </c>
      <c r="AT71" s="815">
        <v>0</v>
      </c>
      <c r="AU71" s="815">
        <v>0</v>
      </c>
      <c r="AV71" s="815">
        <v>0</v>
      </c>
      <c r="AW71" s="808">
        <f t="shared" si="38"/>
        <v>0</v>
      </c>
      <c r="AX71" s="211">
        <f t="shared" si="39"/>
        <v>0</v>
      </c>
      <c r="AY71" s="346">
        <v>0</v>
      </c>
      <c r="AZ71" s="343">
        <v>0</v>
      </c>
      <c r="BA71" s="343">
        <v>0</v>
      </c>
      <c r="BB71" s="343">
        <v>0</v>
      </c>
      <c r="BC71" s="343">
        <v>0</v>
      </c>
      <c r="BD71" s="343">
        <v>0</v>
      </c>
      <c r="BE71" s="808">
        <f t="shared" si="40"/>
        <v>0</v>
      </c>
      <c r="BF71" s="211">
        <f t="shared" si="41"/>
        <v>0</v>
      </c>
      <c r="BG71" s="814">
        <v>0</v>
      </c>
      <c r="BH71" s="815">
        <v>0</v>
      </c>
      <c r="BI71" s="815">
        <v>0</v>
      </c>
      <c r="BJ71" s="815">
        <v>0</v>
      </c>
      <c r="BK71" s="815">
        <v>0</v>
      </c>
      <c r="BL71" s="815">
        <v>0</v>
      </c>
      <c r="BM71" s="808">
        <f t="shared" si="42"/>
        <v>0</v>
      </c>
      <c r="BN71" s="211">
        <f t="shared" si="43"/>
        <v>0</v>
      </c>
      <c r="BO71" s="756"/>
      <c r="BP71" s="757">
        <v>0</v>
      </c>
      <c r="BQ71" s="757">
        <v>0</v>
      </c>
      <c r="BR71" s="757">
        <v>0</v>
      </c>
      <c r="BS71" s="757"/>
      <c r="BT71" s="757"/>
      <c r="BU71" s="810">
        <f t="shared" si="44"/>
        <v>0</v>
      </c>
      <c r="BV71" s="212">
        <f t="shared" si="45"/>
        <v>0</v>
      </c>
      <c r="BW71" s="756">
        <v>0</v>
      </c>
      <c r="BX71" s="757">
        <v>0</v>
      </c>
      <c r="BY71" s="757">
        <v>0</v>
      </c>
      <c r="BZ71" s="757">
        <v>0</v>
      </c>
      <c r="CA71" s="757">
        <v>0</v>
      </c>
      <c r="CB71" s="757">
        <v>0</v>
      </c>
      <c r="CC71" s="810">
        <f t="shared" si="46"/>
        <v>0</v>
      </c>
      <c r="CD71" s="212">
        <f t="shared" si="47"/>
        <v>0</v>
      </c>
      <c r="CE71" s="349">
        <v>0</v>
      </c>
      <c r="CF71" s="350">
        <v>0</v>
      </c>
      <c r="CG71" s="350">
        <v>0</v>
      </c>
      <c r="CH71" s="350">
        <v>0</v>
      </c>
      <c r="CI71" s="350">
        <v>0</v>
      </c>
      <c r="CJ71" s="350">
        <v>0</v>
      </c>
      <c r="CK71" s="810">
        <f t="shared" si="48"/>
        <v>0</v>
      </c>
      <c r="CL71" s="212">
        <f t="shared" si="49"/>
        <v>0</v>
      </c>
      <c r="CM71" s="349">
        <v>0</v>
      </c>
      <c r="CN71" s="350">
        <v>0</v>
      </c>
      <c r="CO71" s="350">
        <v>0</v>
      </c>
      <c r="CP71" s="350">
        <v>0</v>
      </c>
      <c r="CQ71" s="350">
        <v>0</v>
      </c>
      <c r="CR71" s="350">
        <v>0</v>
      </c>
      <c r="CS71" s="810">
        <f t="shared" si="50"/>
        <v>0</v>
      </c>
      <c r="CT71" s="212">
        <f t="shared" si="51"/>
        <v>0</v>
      </c>
      <c r="CU71" s="349">
        <v>0</v>
      </c>
      <c r="CV71" s="350">
        <v>0</v>
      </c>
      <c r="CW71" s="350">
        <v>0</v>
      </c>
      <c r="CX71" s="350">
        <v>0</v>
      </c>
      <c r="CY71" s="350">
        <v>0</v>
      </c>
      <c r="CZ71" s="350">
        <v>0</v>
      </c>
      <c r="DA71" s="810">
        <f t="shared" si="52"/>
        <v>0</v>
      </c>
      <c r="DB71" s="212">
        <f t="shared" si="53"/>
        <v>0</v>
      </c>
      <c r="DC71" s="349">
        <v>0</v>
      </c>
      <c r="DD71" s="350">
        <v>0</v>
      </c>
      <c r="DE71" s="350">
        <v>0</v>
      </c>
      <c r="DF71" s="350">
        <v>0</v>
      </c>
      <c r="DG71" s="350"/>
      <c r="DH71" s="350"/>
      <c r="DI71" s="810">
        <f t="shared" si="54"/>
        <v>0</v>
      </c>
      <c r="DJ71" s="212">
        <f t="shared" si="55"/>
        <v>0</v>
      </c>
      <c r="DK71" s="349">
        <v>0</v>
      </c>
      <c r="DL71" s="350">
        <v>0</v>
      </c>
      <c r="DM71" s="350">
        <v>0</v>
      </c>
      <c r="DN71" s="350">
        <v>0</v>
      </c>
      <c r="DO71" s="350"/>
      <c r="DP71" s="350">
        <v>0</v>
      </c>
      <c r="DQ71" s="808">
        <f t="shared" si="56"/>
        <v>0</v>
      </c>
      <c r="DR71" s="211">
        <f t="shared" si="57"/>
        <v>0</v>
      </c>
      <c r="DS71" s="349">
        <v>0</v>
      </c>
      <c r="DT71" s="350">
        <v>0</v>
      </c>
      <c r="DU71" s="350">
        <v>0</v>
      </c>
      <c r="DV71" s="350"/>
      <c r="DW71" s="350">
        <v>0</v>
      </c>
      <c r="DX71" s="350">
        <v>0</v>
      </c>
      <c r="DY71" s="810">
        <f t="shared" si="58"/>
        <v>0</v>
      </c>
      <c r="DZ71" s="212">
        <f t="shared" si="59"/>
        <v>0</v>
      </c>
      <c r="EA71" s="349">
        <v>0</v>
      </c>
      <c r="EB71" s="350">
        <v>0</v>
      </c>
      <c r="EC71" s="350"/>
      <c r="ED71" s="350">
        <v>0</v>
      </c>
      <c r="EE71" s="350">
        <v>0</v>
      </c>
      <c r="EF71" s="350">
        <v>0</v>
      </c>
      <c r="EG71" s="810">
        <f t="shared" si="60"/>
        <v>0</v>
      </c>
      <c r="EH71" s="212">
        <f t="shared" si="61"/>
        <v>0</v>
      </c>
      <c r="EI71" s="349">
        <v>0</v>
      </c>
      <c r="EJ71" s="350"/>
      <c r="EK71" s="350">
        <v>0</v>
      </c>
      <c r="EL71" s="350">
        <v>0</v>
      </c>
      <c r="EM71" s="350"/>
      <c r="EN71" s="350">
        <v>0</v>
      </c>
      <c r="EO71" s="810">
        <f t="shared" si="62"/>
        <v>0</v>
      </c>
      <c r="EP71" s="212">
        <f t="shared" si="63"/>
        <v>0</v>
      </c>
      <c r="EQ71" s="349">
        <v>0</v>
      </c>
      <c r="ER71" s="350">
        <v>0</v>
      </c>
      <c r="ES71" s="350">
        <v>0</v>
      </c>
      <c r="ET71" s="350">
        <v>0</v>
      </c>
      <c r="EU71" s="350">
        <v>0</v>
      </c>
      <c r="EV71" s="350">
        <v>0</v>
      </c>
      <c r="EW71" s="810">
        <f t="shared" si="64"/>
        <v>0</v>
      </c>
      <c r="EX71" s="212">
        <f t="shared" si="65"/>
        <v>0</v>
      </c>
      <c r="EY71" s="349"/>
      <c r="EZ71" s="350">
        <v>0</v>
      </c>
      <c r="FA71" s="350">
        <v>0</v>
      </c>
      <c r="FB71" s="350">
        <v>0</v>
      </c>
      <c r="FC71" s="350">
        <v>0</v>
      </c>
      <c r="FD71" s="350">
        <v>0</v>
      </c>
      <c r="FE71" s="810">
        <f t="shared" si="66"/>
        <v>0</v>
      </c>
      <c r="FF71" s="212">
        <f t="shared" si="67"/>
        <v>0</v>
      </c>
      <c r="FG71" s="756">
        <v>200</v>
      </c>
      <c r="FH71" s="757"/>
      <c r="FI71" s="757">
        <v>0</v>
      </c>
      <c r="FJ71" s="757">
        <v>0</v>
      </c>
      <c r="FK71" s="757">
        <v>0</v>
      </c>
      <c r="FL71" s="757">
        <v>0</v>
      </c>
      <c r="FM71" s="810">
        <f t="shared" si="68"/>
        <v>200</v>
      </c>
      <c r="FN71" s="212">
        <f t="shared" si="69"/>
        <v>33.333333333333336</v>
      </c>
      <c r="FO71" s="349">
        <v>0</v>
      </c>
      <c r="FP71" s="350">
        <v>0</v>
      </c>
      <c r="FQ71" s="350">
        <v>0</v>
      </c>
      <c r="FR71" s="350">
        <v>0</v>
      </c>
      <c r="FS71" s="350">
        <v>0</v>
      </c>
      <c r="FT71" s="350">
        <v>0</v>
      </c>
      <c r="FU71" s="810">
        <f t="shared" si="70"/>
        <v>0</v>
      </c>
      <c r="FV71" s="212">
        <f t="shared" si="71"/>
        <v>0</v>
      </c>
      <c r="FW71" s="349">
        <v>0</v>
      </c>
      <c r="FX71" s="350">
        <v>0</v>
      </c>
      <c r="FY71" s="350">
        <v>0</v>
      </c>
      <c r="FZ71" s="350"/>
      <c r="GA71" s="350">
        <v>0</v>
      </c>
      <c r="GB71" s="350">
        <v>0</v>
      </c>
      <c r="GC71" s="810">
        <f t="shared" si="72"/>
        <v>0</v>
      </c>
      <c r="GD71" s="212">
        <f t="shared" si="73"/>
        <v>0</v>
      </c>
      <c r="GE71" s="349">
        <v>0</v>
      </c>
      <c r="GF71" s="350">
        <v>0</v>
      </c>
      <c r="GG71" s="350">
        <v>0</v>
      </c>
      <c r="GH71" s="350">
        <v>0</v>
      </c>
      <c r="GI71" s="350">
        <v>0</v>
      </c>
      <c r="GJ71" s="350">
        <v>0</v>
      </c>
      <c r="GK71" s="810">
        <f t="shared" si="74"/>
        <v>0</v>
      </c>
      <c r="GL71" s="212">
        <f t="shared" si="75"/>
        <v>0</v>
      </c>
      <c r="GM71" s="756">
        <v>0</v>
      </c>
      <c r="GN71" s="757">
        <v>0</v>
      </c>
      <c r="GO71" s="757">
        <v>1707</v>
      </c>
      <c r="GP71" s="757">
        <v>0</v>
      </c>
      <c r="GQ71" s="757">
        <v>0</v>
      </c>
      <c r="GR71" s="757">
        <v>0</v>
      </c>
      <c r="GS71" s="872">
        <f t="shared" si="76"/>
        <v>1707</v>
      </c>
      <c r="GT71" s="873">
        <f t="shared" si="77"/>
        <v>284.5</v>
      </c>
      <c r="GU71" s="349">
        <v>0</v>
      </c>
      <c r="GV71" s="350">
        <v>812</v>
      </c>
      <c r="GW71" s="350">
        <v>0</v>
      </c>
      <c r="GX71" s="350"/>
      <c r="GY71" s="350"/>
      <c r="GZ71" s="350"/>
      <c r="HA71" s="878">
        <f t="shared" si="78"/>
        <v>812</v>
      </c>
      <c r="HB71" s="879">
        <f t="shared" si="79"/>
        <v>135.33333333333334</v>
      </c>
      <c r="HI71" s="897">
        <f t="shared" si="80"/>
        <v>0</v>
      </c>
      <c r="HJ71" s="898">
        <f t="shared" si="81"/>
        <v>0</v>
      </c>
      <c r="HQ71" s="897">
        <f t="shared" si="82"/>
        <v>0</v>
      </c>
      <c r="HR71" s="898">
        <f t="shared" si="83"/>
        <v>0</v>
      </c>
      <c r="HY71" s="897">
        <f t="shared" si="84"/>
        <v>0</v>
      </c>
      <c r="HZ71" s="898">
        <f t="shared" si="85"/>
        <v>0</v>
      </c>
    </row>
    <row r="72" spans="1:234" s="323" customFormat="1" ht="15" hidden="1" customHeight="1" x14ac:dyDescent="0.2">
      <c r="A72" s="21">
        <v>59</v>
      </c>
      <c r="B72" s="21" t="s">
        <v>189</v>
      </c>
      <c r="C72" s="275" t="s">
        <v>302</v>
      </c>
      <c r="D72" s="21">
        <v>40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si="86"/>
        <v>0</v>
      </c>
      <c r="M72" s="15">
        <f t="shared" si="27"/>
        <v>0</v>
      </c>
      <c r="N72" s="15">
        <v>73.5</v>
      </c>
      <c r="O72" s="276">
        <f t="shared" si="28"/>
        <v>0</v>
      </c>
      <c r="P72" s="15">
        <v>0</v>
      </c>
      <c r="Q72" s="711">
        <f t="shared" si="29"/>
        <v>166.66666666666666</v>
      </c>
      <c r="R72" s="276">
        <f t="shared" si="30"/>
        <v>0</v>
      </c>
      <c r="S72" s="712">
        <f t="shared" ref="S72" si="114">T72/$T$8</f>
        <v>38.46153846153846</v>
      </c>
      <c r="T72" s="713">
        <v>1000</v>
      </c>
      <c r="U72" s="276">
        <f t="shared" si="113"/>
        <v>0</v>
      </c>
      <c r="V72" s="278"/>
      <c r="W72" s="276">
        <f t="shared" si="33"/>
        <v>0</v>
      </c>
      <c r="X72" s="279" t="e">
        <f t="shared" si="0"/>
        <v>#DIV/0!</v>
      </c>
      <c r="Y72" s="305">
        <v>20</v>
      </c>
      <c r="Z72" s="721"/>
      <c r="AA72" s="245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f t="shared" si="34"/>
        <v>0</v>
      </c>
      <c r="AH72" s="212">
        <f t="shared" si="35"/>
        <v>0</v>
      </c>
      <c r="AI72" s="756">
        <v>0</v>
      </c>
      <c r="AJ72" s="757">
        <v>0</v>
      </c>
      <c r="AK72" s="757">
        <v>0</v>
      </c>
      <c r="AL72" s="757">
        <v>0</v>
      </c>
      <c r="AM72" s="757">
        <v>0</v>
      </c>
      <c r="AN72" s="757"/>
      <c r="AO72" s="810">
        <f t="shared" si="36"/>
        <v>0</v>
      </c>
      <c r="AP72" s="811">
        <f t="shared" si="37"/>
        <v>0</v>
      </c>
      <c r="AQ72" s="816">
        <v>0</v>
      </c>
      <c r="AR72" s="817">
        <v>0</v>
      </c>
      <c r="AS72" s="817">
        <v>0</v>
      </c>
      <c r="AT72" s="817">
        <v>0</v>
      </c>
      <c r="AU72" s="817">
        <v>0</v>
      </c>
      <c r="AV72" s="817">
        <v>0</v>
      </c>
      <c r="AW72" s="810">
        <f t="shared" si="38"/>
        <v>0</v>
      </c>
      <c r="AX72" s="212">
        <f t="shared" si="39"/>
        <v>0</v>
      </c>
      <c r="AY72" s="349">
        <v>0</v>
      </c>
      <c r="AZ72" s="350">
        <v>0</v>
      </c>
      <c r="BA72" s="350">
        <v>0</v>
      </c>
      <c r="BB72" s="350">
        <v>0</v>
      </c>
      <c r="BC72" s="350">
        <v>441</v>
      </c>
      <c r="BD72" s="350">
        <v>0</v>
      </c>
      <c r="BE72" s="810">
        <f t="shared" si="40"/>
        <v>441</v>
      </c>
      <c r="BF72" s="212">
        <f t="shared" si="41"/>
        <v>73.5</v>
      </c>
      <c r="BG72" s="816"/>
      <c r="BH72" s="817"/>
      <c r="BI72" s="817"/>
      <c r="BJ72" s="817"/>
      <c r="BK72" s="817"/>
      <c r="BL72" s="817"/>
      <c r="BM72" s="810">
        <f t="shared" si="42"/>
        <v>0</v>
      </c>
      <c r="BN72" s="212">
        <f t="shared" si="43"/>
        <v>0</v>
      </c>
      <c r="BO72" s="758"/>
      <c r="BP72" s="758"/>
      <c r="BQ72" s="758"/>
      <c r="BR72" s="758"/>
      <c r="BS72" s="758"/>
      <c r="BT72" s="758"/>
      <c r="BU72" s="843">
        <f t="shared" si="44"/>
        <v>0</v>
      </c>
      <c r="BV72" s="844">
        <f t="shared" si="45"/>
        <v>0</v>
      </c>
      <c r="BW72" s="758"/>
      <c r="BX72" s="758"/>
      <c r="BY72" s="758"/>
      <c r="BZ72" s="758"/>
      <c r="CA72" s="758"/>
      <c r="CB72" s="758"/>
      <c r="CC72" s="843">
        <f t="shared" si="46"/>
        <v>0</v>
      </c>
      <c r="CD72" s="844">
        <f t="shared" si="47"/>
        <v>0</v>
      </c>
      <c r="CS72" s="843">
        <f t="shared" si="50"/>
        <v>0</v>
      </c>
      <c r="CT72" s="844">
        <f t="shared" si="51"/>
        <v>0</v>
      </c>
      <c r="DQ72" s="843">
        <f t="shared" ref="DQ72" si="115">SUM(DK72:DP72)</f>
        <v>0</v>
      </c>
      <c r="DR72" s="844">
        <f t="shared" ref="DR72" si="116">DQ72/$DJ$10</f>
        <v>0</v>
      </c>
      <c r="DY72" s="843">
        <f t="shared" si="58"/>
        <v>0</v>
      </c>
      <c r="DZ72" s="844">
        <f t="shared" si="59"/>
        <v>0</v>
      </c>
      <c r="EG72" s="843">
        <f t="shared" si="60"/>
        <v>0</v>
      </c>
      <c r="EH72" s="844">
        <f t="shared" si="61"/>
        <v>0</v>
      </c>
      <c r="FE72" s="843">
        <f t="shared" si="66"/>
        <v>0</v>
      </c>
      <c r="FF72" s="844">
        <f t="shared" si="67"/>
        <v>0</v>
      </c>
      <c r="FG72" s="758"/>
      <c r="FH72" s="758"/>
      <c r="FI72" s="758"/>
      <c r="FJ72" s="758"/>
      <c r="FK72" s="758"/>
      <c r="FL72" s="758"/>
      <c r="FM72" s="843">
        <f t="shared" si="68"/>
        <v>0</v>
      </c>
      <c r="FN72" s="844">
        <f t="shared" si="69"/>
        <v>0</v>
      </c>
      <c r="FU72" s="843">
        <f t="shared" si="70"/>
        <v>0</v>
      </c>
      <c r="FV72" s="844">
        <f t="shared" si="71"/>
        <v>0</v>
      </c>
      <c r="GS72" s="808">
        <f t="shared" si="76"/>
        <v>0</v>
      </c>
      <c r="GT72" s="211">
        <f t="shared" si="77"/>
        <v>0</v>
      </c>
      <c r="HI72" s="876">
        <f t="shared" si="80"/>
        <v>0</v>
      </c>
      <c r="HJ72" s="877">
        <f t="shared" si="81"/>
        <v>0</v>
      </c>
      <c r="HQ72" s="872">
        <f t="shared" si="82"/>
        <v>0</v>
      </c>
      <c r="HR72" s="873">
        <f t="shared" si="83"/>
        <v>0</v>
      </c>
      <c r="HY72" s="872">
        <f t="shared" si="84"/>
        <v>0</v>
      </c>
      <c r="HZ72" s="873">
        <f t="shared" si="85"/>
        <v>0</v>
      </c>
    </row>
    <row r="73" spans="1:234" s="749" customFormat="1" ht="12" customHeight="1" x14ac:dyDescent="0.2">
      <c r="A73" s="970" t="s">
        <v>14</v>
      </c>
      <c r="B73" s="970"/>
      <c r="C73" s="970"/>
      <c r="D73" s="746">
        <v>5</v>
      </c>
      <c r="E73" s="747">
        <f t="shared" ref="E73:W73" si="117">E39+E44</f>
        <v>0</v>
      </c>
      <c r="F73" s="747">
        <f t="shared" si="117"/>
        <v>4570</v>
      </c>
      <c r="G73" s="747">
        <f t="shared" si="117"/>
        <v>0</v>
      </c>
      <c r="H73" s="747">
        <f t="shared" si="117"/>
        <v>0</v>
      </c>
      <c r="I73" s="747">
        <f t="shared" si="117"/>
        <v>0</v>
      </c>
      <c r="J73" s="747">
        <f t="shared" si="117"/>
        <v>0</v>
      </c>
      <c r="K73" s="747">
        <f t="shared" si="117"/>
        <v>0</v>
      </c>
      <c r="L73" s="747">
        <f t="shared" si="117"/>
        <v>4570</v>
      </c>
      <c r="M73" s="747">
        <f t="shared" si="117"/>
        <v>4570</v>
      </c>
      <c r="N73" s="747">
        <f t="shared" si="117"/>
        <v>33.333333333333336</v>
      </c>
      <c r="O73" s="747">
        <f t="shared" si="117"/>
        <v>73.05</v>
      </c>
      <c r="P73" s="747">
        <f t="shared" si="117"/>
        <v>303</v>
      </c>
      <c r="Q73" s="747">
        <f t="shared" si="117"/>
        <v>466.66666666666663</v>
      </c>
      <c r="R73" s="747">
        <f t="shared" si="117"/>
        <v>48.21782178217822</v>
      </c>
      <c r="S73" s="747">
        <f t="shared" si="117"/>
        <v>107.69230769230769</v>
      </c>
      <c r="T73" s="747">
        <f t="shared" si="117"/>
        <v>2800</v>
      </c>
      <c r="U73" s="747">
        <f t="shared" si="117"/>
        <v>101.0425</v>
      </c>
      <c r="V73" s="747">
        <f t="shared" si="117"/>
        <v>0</v>
      </c>
      <c r="W73" s="747">
        <f t="shared" si="117"/>
        <v>101.0425</v>
      </c>
      <c r="X73" s="747"/>
      <c r="Y73" s="747"/>
      <c r="Z73" s="748"/>
      <c r="AA73" s="323"/>
      <c r="AB73" s="323"/>
      <c r="AC73" s="323"/>
      <c r="AD73" s="323"/>
      <c r="AE73" s="323"/>
      <c r="AF73" s="323"/>
      <c r="AI73" s="758"/>
      <c r="AJ73" s="758"/>
      <c r="AK73" s="758"/>
      <c r="AL73" s="758"/>
      <c r="AM73" s="758"/>
      <c r="AN73" s="758"/>
      <c r="AQ73" s="323"/>
      <c r="AR73" s="323"/>
      <c r="AS73" s="323"/>
      <c r="AT73" s="323"/>
      <c r="AU73" s="323"/>
      <c r="AV73" s="323"/>
      <c r="AY73" s="323"/>
      <c r="AZ73" s="323"/>
      <c r="BA73" s="323"/>
      <c r="BB73" s="323"/>
      <c r="BC73" s="323"/>
      <c r="BD73" s="323"/>
      <c r="BG73" s="833"/>
      <c r="BH73" s="833"/>
      <c r="BI73" s="833"/>
      <c r="BJ73" s="833"/>
      <c r="BK73" s="833"/>
      <c r="BL73" s="833"/>
      <c r="BO73" s="758"/>
      <c r="BP73" s="758"/>
      <c r="BQ73" s="758"/>
      <c r="BR73" s="758"/>
      <c r="BS73" s="758"/>
      <c r="BT73" s="758"/>
      <c r="BW73" s="758"/>
      <c r="BX73" s="758"/>
      <c r="BY73" s="758"/>
      <c r="BZ73" s="758"/>
      <c r="CA73" s="758"/>
      <c r="CB73" s="758"/>
      <c r="CE73" s="323"/>
      <c r="CF73" s="323"/>
      <c r="CG73" s="323"/>
      <c r="CH73" s="323"/>
      <c r="CI73" s="323"/>
      <c r="CJ73" s="323"/>
      <c r="CM73" s="323"/>
      <c r="CN73" s="323"/>
      <c r="CO73" s="323"/>
      <c r="CP73" s="323"/>
      <c r="CQ73" s="323"/>
      <c r="CR73" s="323"/>
      <c r="CU73" s="323"/>
      <c r="CV73" s="323"/>
      <c r="CW73" s="323"/>
      <c r="CX73" s="323"/>
      <c r="CY73" s="323"/>
      <c r="CZ73" s="323"/>
      <c r="DC73" s="323"/>
      <c r="DD73" s="323"/>
      <c r="DE73" s="323"/>
      <c r="DF73" s="323"/>
      <c r="DG73" s="323"/>
      <c r="DH73" s="323"/>
      <c r="DK73" s="323"/>
      <c r="DL73" s="323"/>
      <c r="DM73" s="323"/>
      <c r="DN73" s="323"/>
      <c r="DO73" s="323"/>
      <c r="DP73" s="323"/>
      <c r="DS73" s="323"/>
      <c r="DT73" s="323"/>
      <c r="DU73" s="323"/>
      <c r="DV73" s="323"/>
      <c r="DW73" s="323"/>
      <c r="DX73" s="323"/>
      <c r="EA73" s="323"/>
      <c r="EB73" s="323"/>
      <c r="EC73" s="323"/>
      <c r="ED73" s="323"/>
      <c r="EE73" s="323"/>
      <c r="EF73" s="323"/>
      <c r="EI73" s="323"/>
      <c r="EJ73" s="323"/>
      <c r="EK73" s="323"/>
      <c r="EL73" s="323"/>
      <c r="EM73" s="323"/>
      <c r="EN73" s="323"/>
      <c r="EQ73" s="323"/>
      <c r="ER73" s="323"/>
      <c r="ES73" s="323"/>
      <c r="ET73" s="323"/>
      <c r="EU73" s="323"/>
      <c r="EV73" s="323"/>
      <c r="EY73" s="323"/>
      <c r="EZ73" s="323"/>
      <c r="FA73" s="323"/>
      <c r="FB73" s="323"/>
      <c r="FC73" s="323"/>
      <c r="FD73" s="323"/>
      <c r="FG73" s="758"/>
      <c r="FH73" s="758"/>
      <c r="FI73" s="758"/>
      <c r="FJ73" s="758"/>
      <c r="FK73" s="758"/>
      <c r="FL73" s="758"/>
      <c r="FO73" s="323"/>
      <c r="FP73" s="323"/>
      <c r="FQ73" s="323"/>
      <c r="FR73" s="323"/>
      <c r="FS73" s="323"/>
      <c r="FT73" s="323"/>
      <c r="FW73" s="323"/>
      <c r="FX73" s="323"/>
      <c r="FY73" s="323"/>
      <c r="FZ73" s="323"/>
      <c r="GA73" s="323"/>
      <c r="GB73" s="323"/>
      <c r="GE73" s="323"/>
      <c r="GF73" s="323"/>
      <c r="GG73" s="323"/>
      <c r="GH73" s="323"/>
      <c r="GI73" s="323"/>
      <c r="GJ73" s="323"/>
      <c r="GU73" s="323"/>
      <c r="GV73" s="323"/>
      <c r="GW73" s="323"/>
      <c r="GX73" s="323"/>
      <c r="GY73" s="323"/>
      <c r="GZ73" s="323"/>
      <c r="HC73" s="323"/>
      <c r="HD73" s="323"/>
      <c r="HE73" s="323"/>
      <c r="HF73" s="323"/>
      <c r="HG73" s="323"/>
      <c r="HH73" s="323"/>
      <c r="HK73" s="323"/>
      <c r="HL73" s="323"/>
      <c r="HM73" s="323"/>
      <c r="HN73" s="323"/>
      <c r="HO73" s="323"/>
      <c r="HP73" s="323"/>
      <c r="HS73" s="323"/>
      <c r="HT73" s="323"/>
      <c r="HU73" s="323"/>
      <c r="HV73" s="323"/>
      <c r="HW73" s="323"/>
      <c r="HX73" s="323"/>
    </row>
    <row r="74" spans="1:234" s="749" customFormat="1" ht="12" customHeight="1" x14ac:dyDescent="0.2">
      <c r="A74" s="970"/>
      <c r="B74" s="970"/>
      <c r="C74" s="970"/>
      <c r="D74" s="746">
        <v>25</v>
      </c>
      <c r="E74" s="747">
        <f t="shared" ref="E74:W74" si="118">SUM(E12:E71)-E73</f>
        <v>0</v>
      </c>
      <c r="F74" s="747">
        <f t="shared" si="118"/>
        <v>195080</v>
      </c>
      <c r="G74" s="747">
        <f t="shared" si="118"/>
        <v>0</v>
      </c>
      <c r="H74" s="747">
        <f t="shared" si="118"/>
        <v>26606</v>
      </c>
      <c r="I74" s="747">
        <f t="shared" si="118"/>
        <v>0</v>
      </c>
      <c r="J74" s="747">
        <f t="shared" si="118"/>
        <v>12316</v>
      </c>
      <c r="K74" s="747">
        <f t="shared" si="118"/>
        <v>0</v>
      </c>
      <c r="L74" s="747">
        <f t="shared" si="118"/>
        <v>209370</v>
      </c>
      <c r="M74" s="747">
        <f t="shared" si="118"/>
        <v>209370</v>
      </c>
      <c r="N74" s="747">
        <f t="shared" si="118"/>
        <v>11908.333333333334</v>
      </c>
      <c r="O74" s="747">
        <f t="shared" si="118"/>
        <v>1196.8408801855908</v>
      </c>
      <c r="P74" s="747">
        <f t="shared" si="118"/>
        <v>10869.333333333334</v>
      </c>
      <c r="Q74" s="747">
        <f t="shared" si="118"/>
        <v>57478.333333333358</v>
      </c>
      <c r="R74" s="747">
        <f t="shared" si="118"/>
        <v>5595.959501047555</v>
      </c>
      <c r="S74" s="747">
        <f t="shared" si="118"/>
        <v>13596.538461538463</v>
      </c>
      <c r="T74" s="747">
        <f t="shared" si="118"/>
        <v>353510</v>
      </c>
      <c r="U74" s="747">
        <f t="shared" si="118"/>
        <v>1460.7221578567594</v>
      </c>
      <c r="V74" s="747">
        <f t="shared" si="118"/>
        <v>0</v>
      </c>
      <c r="W74" s="747">
        <f t="shared" si="118"/>
        <v>1460.7221578567594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  <c r="HS74" s="323"/>
      <c r="HT74" s="323"/>
      <c r="HU74" s="323"/>
      <c r="HV74" s="323"/>
      <c r="HW74" s="323"/>
      <c r="HX74" s="323"/>
    </row>
    <row r="75" spans="1:234" ht="12" customHeight="1" x14ac:dyDescent="0.2">
      <c r="A75" s="12" t="s">
        <v>25</v>
      </c>
      <c r="B75" s="12"/>
      <c r="Y75" s="308"/>
      <c r="Z75" s="292"/>
    </row>
    <row r="76" spans="1:234" ht="12" customHeight="1" x14ac:dyDescent="0.2">
      <c r="A76" s="12" t="s">
        <v>267</v>
      </c>
      <c r="B76" s="12"/>
      <c r="C76" s="12"/>
      <c r="Y76" s="308"/>
      <c r="Z76" s="2"/>
    </row>
    <row r="77" spans="1:234" ht="12" customHeight="1" x14ac:dyDescent="0.2">
      <c r="A77" s="12" t="s">
        <v>268</v>
      </c>
      <c r="B77" s="12"/>
      <c r="C77" s="12"/>
      <c r="V77" s="487"/>
      <c r="X77" s="487"/>
      <c r="Y77" s="308"/>
      <c r="Z77" s="10"/>
    </row>
    <row r="78" spans="1:234" ht="12" customHeight="1" x14ac:dyDescent="0.2">
      <c r="C78" s="12"/>
      <c r="Y78" s="13"/>
      <c r="Z78" s="10"/>
    </row>
    <row r="79" spans="1:234" ht="12" customHeight="1" x14ac:dyDescent="0.2">
      <c r="A79" s="969"/>
      <c r="B79" s="969"/>
      <c r="C79" s="969"/>
      <c r="D79" s="969"/>
      <c r="E79" s="969"/>
      <c r="F79" s="969"/>
      <c r="G79" s="969"/>
      <c r="H79" s="969"/>
      <c r="I79" s="969"/>
      <c r="J79" s="969"/>
      <c r="K79" s="969"/>
      <c r="L79" s="969"/>
      <c r="M79" s="969"/>
      <c r="N79" s="969"/>
      <c r="O79" s="969"/>
      <c r="P79" s="969"/>
      <c r="Q79" s="10"/>
      <c r="R79" s="1"/>
      <c r="S79" s="1"/>
      <c r="T79" s="1"/>
      <c r="U79" s="1"/>
      <c r="V79" s="58"/>
      <c r="W79" s="1"/>
      <c r="X79" s="1"/>
      <c r="Y79" s="5"/>
      <c r="Z79" s="5"/>
    </row>
    <row r="80" spans="1:234" ht="12" customHeight="1" x14ac:dyDescent="0.2">
      <c r="A80" s="975" t="s">
        <v>15</v>
      </c>
      <c r="B80" s="975"/>
      <c r="C80" s="975"/>
      <c r="D80" s="975"/>
      <c r="E80" s="975"/>
      <c r="F80" s="975"/>
      <c r="G80" s="975"/>
      <c r="H80" s="975"/>
      <c r="I80" s="975"/>
      <c r="J80" s="975"/>
      <c r="K80" s="975"/>
      <c r="L80" s="975"/>
      <c r="M80" s="975"/>
      <c r="N80" s="975"/>
      <c r="O80" s="975"/>
      <c r="P80" s="975"/>
      <c r="Q80" s="1"/>
      <c r="R80" s="292"/>
      <c r="S80" s="292"/>
      <c r="T80" s="292"/>
      <c r="U80" s="292"/>
      <c r="V80" s="10"/>
      <c r="X80" s="31"/>
      <c r="Y80" s="1"/>
      <c r="Z80" s="1"/>
    </row>
    <row r="81" spans="1:168" s="5" customFormat="1" ht="12" customHeight="1" x14ac:dyDescent="0.2">
      <c r="A81" s="957" t="s">
        <v>3</v>
      </c>
      <c r="B81" s="957" t="s">
        <v>4</v>
      </c>
      <c r="C81" s="957"/>
      <c r="D81" s="960" t="s">
        <v>6</v>
      </c>
      <c r="E81" s="962" t="s">
        <v>7</v>
      </c>
      <c r="F81" s="958" t="s">
        <v>8</v>
      </c>
      <c r="G81" s="974" t="s">
        <v>9</v>
      </c>
      <c r="H81" s="957" t="s">
        <v>13</v>
      </c>
      <c r="I81" s="971" t="s">
        <v>2</v>
      </c>
      <c r="J81" s="971" t="s">
        <v>506</v>
      </c>
      <c r="K81" s="972"/>
      <c r="L81" s="716"/>
      <c r="M81" s="2"/>
      <c r="N81" s="2"/>
      <c r="O81" s="2"/>
      <c r="P81" s="2"/>
      <c r="Q81" s="10"/>
      <c r="R81" s="31"/>
      <c r="S81" s="1"/>
      <c r="T81" s="1"/>
      <c r="U81" s="1"/>
      <c r="V81" s="1"/>
      <c r="W81" s="1"/>
      <c r="X81" s="1"/>
      <c r="AI81" s="78"/>
      <c r="AJ81" s="78"/>
      <c r="AK81" s="78"/>
      <c r="AL81" s="78"/>
      <c r="AM81" s="78"/>
      <c r="AN81" s="78"/>
      <c r="BG81" s="833"/>
      <c r="BH81" s="833"/>
      <c r="BI81" s="833"/>
      <c r="BJ81" s="833"/>
      <c r="BK81" s="833"/>
      <c r="BL81" s="833"/>
      <c r="BO81" s="78"/>
      <c r="BP81" s="78"/>
      <c r="BQ81" s="78"/>
      <c r="BR81" s="78"/>
      <c r="BS81" s="78"/>
      <c r="BT81" s="78"/>
      <c r="BW81" s="78"/>
      <c r="BX81" s="78"/>
      <c r="BY81" s="78"/>
      <c r="BZ81" s="78"/>
      <c r="CA81" s="78"/>
      <c r="CB81" s="78"/>
      <c r="FG81" s="78"/>
      <c r="FH81" s="78"/>
      <c r="FI81" s="78"/>
      <c r="FJ81" s="78"/>
      <c r="FK81" s="78"/>
      <c r="FL81" s="78"/>
    </row>
    <row r="82" spans="1:168" s="5" customFormat="1" ht="12" customHeight="1" x14ac:dyDescent="0.2">
      <c r="A82" s="957"/>
      <c r="B82" s="957"/>
      <c r="C82" s="957"/>
      <c r="D82" s="961"/>
      <c r="E82" s="963"/>
      <c r="F82" s="959"/>
      <c r="G82" s="974"/>
      <c r="H82" s="957"/>
      <c r="I82" s="971"/>
      <c r="J82" s="971"/>
      <c r="K82" s="973"/>
      <c r="L82" s="716"/>
      <c r="M82" s="13"/>
      <c r="N82" s="13"/>
      <c r="O82" s="13"/>
      <c r="P82" s="13"/>
      <c r="Q82" s="10"/>
      <c r="R82" s="717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454" customFormat="1" x14ac:dyDescent="0.2">
      <c r="A83" s="391">
        <v>1</v>
      </c>
      <c r="B83" s="956" t="s">
        <v>194</v>
      </c>
      <c r="C83" s="956"/>
      <c r="D83" s="889">
        <v>101.5</v>
      </c>
      <c r="E83" s="24"/>
      <c r="F83" s="15"/>
      <c r="G83" s="294">
        <f>D83+E83-F83</f>
        <v>101.5</v>
      </c>
      <c r="H83" s="391">
        <f>2.5*4</f>
        <v>10</v>
      </c>
      <c r="I83" s="634"/>
      <c r="J83" s="297">
        <f>(I83+G83)/H83</f>
        <v>10.15</v>
      </c>
      <c r="K83" s="890"/>
      <c r="L83" s="718"/>
      <c r="M83" s="719"/>
      <c r="N83" s="719"/>
      <c r="O83" s="719"/>
      <c r="P83" s="719"/>
      <c r="Q83" s="395"/>
      <c r="R83" s="665"/>
      <c r="S83" s="455"/>
      <c r="T83" s="455"/>
      <c r="U83" s="455"/>
      <c r="V83" s="455"/>
      <c r="W83" s="455"/>
      <c r="X83" s="455"/>
      <c r="AI83" s="759"/>
      <c r="AJ83" s="759"/>
      <c r="AK83" s="759"/>
      <c r="AL83" s="759"/>
      <c r="AM83" s="759"/>
      <c r="AN83" s="759"/>
      <c r="BG83" s="840"/>
      <c r="BH83" s="840"/>
      <c r="BI83" s="840"/>
      <c r="BJ83" s="840"/>
      <c r="BK83" s="840"/>
      <c r="BL83" s="840"/>
      <c r="BO83" s="759"/>
      <c r="BP83" s="759"/>
      <c r="BQ83" s="759"/>
      <c r="BR83" s="759"/>
      <c r="BS83" s="759"/>
      <c r="BT83" s="759"/>
      <c r="BW83" s="759"/>
      <c r="BX83" s="759"/>
      <c r="BY83" s="759"/>
      <c r="BZ83" s="759"/>
      <c r="CA83" s="759"/>
      <c r="CB83" s="759"/>
      <c r="FG83" s="759"/>
      <c r="FH83" s="759"/>
      <c r="FI83" s="759"/>
      <c r="FJ83" s="759"/>
      <c r="FK83" s="759"/>
      <c r="FL83" s="759"/>
    </row>
    <row r="84" spans="1:168" x14ac:dyDescent="0.2">
      <c r="A84" s="21">
        <v>2</v>
      </c>
      <c r="B84" s="956" t="s">
        <v>27</v>
      </c>
      <c r="C84" s="956"/>
      <c r="D84" s="891">
        <v>808</v>
      </c>
      <c r="E84" s="15"/>
      <c r="F84" s="15">
        <f>4*16</f>
        <v>64</v>
      </c>
      <c r="G84" s="294">
        <f>D84+E84-F84</f>
        <v>744</v>
      </c>
      <c r="H84" s="21">
        <v>50</v>
      </c>
      <c r="I84" s="296"/>
      <c r="J84" s="297">
        <f>(I84+G84)/H84</f>
        <v>14.88</v>
      </c>
      <c r="K84" s="854"/>
      <c r="L84" s="298"/>
      <c r="R84" s="31"/>
      <c r="S84" s="1"/>
      <c r="T84" s="1"/>
      <c r="U84" s="1"/>
      <c r="V84" s="1"/>
      <c r="W84" s="1"/>
      <c r="X84" s="1"/>
      <c r="Y84" s="1"/>
      <c r="Z84" s="1"/>
    </row>
    <row r="85" spans="1:168" ht="12" hidden="1" customHeight="1" x14ac:dyDescent="0.2">
      <c r="A85" s="21">
        <v>2</v>
      </c>
      <c r="B85" s="956" t="s">
        <v>16</v>
      </c>
      <c r="C85" s="956"/>
      <c r="D85" s="328">
        <v>0</v>
      </c>
      <c r="E85" s="329"/>
      <c r="F85" s="295"/>
      <c r="G85" s="294">
        <f>D85+E85-F85</f>
        <v>0</v>
      </c>
      <c r="H85" s="21">
        <v>24</v>
      </c>
      <c r="I85" s="299"/>
      <c r="J85" s="297">
        <f>(I85+G85)/H85</f>
        <v>0</v>
      </c>
      <c r="K85" s="300"/>
      <c r="L85" s="292"/>
      <c r="M85" s="10"/>
      <c r="N85" s="10"/>
      <c r="O85" s="10"/>
      <c r="P85" s="10"/>
      <c r="Q85" s="10"/>
      <c r="R85" s="31"/>
      <c r="S85" s="1"/>
      <c r="T85" s="1"/>
      <c r="U85" s="1"/>
      <c r="V85" s="1"/>
      <c r="W85" s="1"/>
      <c r="X85" s="1"/>
      <c r="Y85" s="1"/>
      <c r="Z85" s="1"/>
    </row>
    <row r="86" spans="1:168" ht="12" customHeight="1" x14ac:dyDescent="0.2">
      <c r="A86" s="12" t="s">
        <v>25</v>
      </c>
      <c r="B86" s="12"/>
      <c r="C86" s="12"/>
      <c r="E86" s="720"/>
      <c r="J86" s="10"/>
      <c r="K86" s="10"/>
      <c r="L86" s="10"/>
      <c r="M86" s="10"/>
      <c r="N86" s="10"/>
      <c r="O86" s="292"/>
      <c r="P86" s="10"/>
      <c r="Q86" s="10"/>
      <c r="R86" s="292"/>
      <c r="S86" s="292"/>
      <c r="T86" s="292"/>
      <c r="U86" s="292"/>
      <c r="V86" s="10"/>
      <c r="W86" s="10"/>
      <c r="X86" s="31"/>
      <c r="Y86" s="1"/>
      <c r="Z86" s="1"/>
    </row>
    <row r="87" spans="1:168" ht="12" customHeight="1" x14ac:dyDescent="0.2">
      <c r="A87" s="12" t="s">
        <v>267</v>
      </c>
      <c r="B87" s="12"/>
      <c r="C87" s="12"/>
      <c r="E87" s="720"/>
      <c r="J87" s="13"/>
      <c r="K87" s="13"/>
      <c r="L87" s="13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306" t="s">
        <v>268</v>
      </c>
      <c r="B88" s="306"/>
      <c r="J88" s="13"/>
      <c r="K88" s="10"/>
      <c r="L88" s="10"/>
      <c r="M88" s="13"/>
      <c r="N88" s="10"/>
      <c r="O88" s="292"/>
      <c r="P88" s="10"/>
      <c r="Q88" s="10"/>
      <c r="R88" s="292"/>
      <c r="S88" s="292"/>
      <c r="T88" s="292"/>
      <c r="U88" s="292"/>
      <c r="V88" s="448"/>
      <c r="W88" s="10"/>
      <c r="X88" s="31"/>
      <c r="Y88" s="1"/>
      <c r="Z88" s="1"/>
    </row>
    <row r="89" spans="1:168" ht="12" customHeight="1" x14ac:dyDescent="0.2">
      <c r="V89" s="448"/>
      <c r="Z89" s="292"/>
    </row>
    <row r="90" spans="1:168" x14ac:dyDescent="0.2">
      <c r="V90" s="448"/>
      <c r="Z90" s="292"/>
    </row>
    <row r="91" spans="1:168" s="10" customFormat="1" x14ac:dyDescent="0.2">
      <c r="C91" s="487"/>
      <c r="E91" s="2"/>
      <c r="F91" s="2"/>
      <c r="G91" s="2"/>
      <c r="H91" s="2"/>
      <c r="I91" s="447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448"/>
      <c r="W91" s="2"/>
      <c r="X91" s="2"/>
      <c r="Z91" s="11"/>
      <c r="AI91" s="86"/>
      <c r="AJ91" s="86"/>
      <c r="AK91" s="86"/>
      <c r="AL91" s="86"/>
      <c r="AM91" s="86"/>
      <c r="AN91" s="86"/>
      <c r="BG91" s="837"/>
      <c r="BH91" s="837"/>
      <c r="BI91" s="837"/>
      <c r="BJ91" s="837"/>
      <c r="BK91" s="837"/>
      <c r="BL91" s="837"/>
      <c r="BO91" s="86"/>
      <c r="BP91" s="86"/>
      <c r="BQ91" s="86"/>
      <c r="BR91" s="86"/>
      <c r="BS91" s="86"/>
      <c r="BT91" s="86"/>
      <c r="BW91" s="86"/>
      <c r="BX91" s="86"/>
      <c r="BY91" s="86"/>
      <c r="BZ91" s="86"/>
      <c r="CA91" s="86"/>
      <c r="CB91" s="86"/>
      <c r="FG91" s="86"/>
      <c r="FH91" s="86"/>
      <c r="FI91" s="86"/>
      <c r="FJ91" s="86"/>
      <c r="FK91" s="86"/>
      <c r="FL91" s="86"/>
    </row>
    <row r="92" spans="1:168" s="10" customFormat="1" x14ac:dyDescent="0.2">
      <c r="C92" s="487"/>
      <c r="E92" s="2"/>
      <c r="F92" s="2"/>
      <c r="G92" s="2"/>
      <c r="H92" s="208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F94" s="710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2" customFormat="1" x14ac:dyDescent="0.2">
      <c r="A103" s="10"/>
      <c r="B103" s="10"/>
      <c r="C103" s="10"/>
      <c r="D103" s="10"/>
      <c r="Y103" s="10"/>
      <c r="Z103" s="11"/>
      <c r="AI103" s="87"/>
      <c r="AJ103" s="87"/>
      <c r="AK103" s="87"/>
      <c r="AL103" s="87"/>
      <c r="AM103" s="87"/>
      <c r="AN103" s="87"/>
      <c r="BG103" s="841"/>
      <c r="BH103" s="841"/>
      <c r="BI103" s="841"/>
      <c r="BJ103" s="841"/>
      <c r="BK103" s="841"/>
      <c r="BL103" s="841"/>
      <c r="BO103" s="87"/>
      <c r="BP103" s="87"/>
      <c r="BQ103" s="87"/>
      <c r="BR103" s="87"/>
      <c r="BS103" s="87"/>
      <c r="BT103" s="87"/>
      <c r="BW103" s="87"/>
      <c r="BX103" s="87"/>
      <c r="BY103" s="87"/>
      <c r="BZ103" s="87"/>
      <c r="CA103" s="87"/>
      <c r="CB103" s="87"/>
      <c r="FG103" s="87"/>
      <c r="FH103" s="87"/>
      <c r="FI103" s="87"/>
      <c r="FJ103" s="87"/>
      <c r="FK103" s="87"/>
      <c r="FL103" s="87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</sheetData>
  <mergeCells count="46">
    <mergeCell ref="A3:C3"/>
    <mergeCell ref="A4:C4"/>
    <mergeCell ref="A5:C5"/>
    <mergeCell ref="A7:C7"/>
    <mergeCell ref="I10:J10"/>
    <mergeCell ref="A8:C8"/>
    <mergeCell ref="A81:A82"/>
    <mergeCell ref="A79:P79"/>
    <mergeCell ref="A73:C74"/>
    <mergeCell ref="J81:J82"/>
    <mergeCell ref="K81:K82"/>
    <mergeCell ref="G81:G82"/>
    <mergeCell ref="I81:I82"/>
    <mergeCell ref="H81:H82"/>
    <mergeCell ref="A80:P80"/>
    <mergeCell ref="R10:R11"/>
    <mergeCell ref="O10:O11"/>
    <mergeCell ref="P10:P11"/>
    <mergeCell ref="B85:C85"/>
    <mergeCell ref="B84:C84"/>
    <mergeCell ref="B81:C82"/>
    <mergeCell ref="F81:F82"/>
    <mergeCell ref="D81:D82"/>
    <mergeCell ref="E81:E82"/>
    <mergeCell ref="B83:C83"/>
    <mergeCell ref="Q10:Q11"/>
    <mergeCell ref="B10:B11"/>
    <mergeCell ref="C10:C11"/>
    <mergeCell ref="D10:D11"/>
    <mergeCell ref="G10:H10"/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</mergeCells>
  <phoneticPr fontId="50" type="noConversion"/>
  <conditionalFormatting sqref="R12:R72">
    <cfRule type="cellIs" dxfId="36" priority="1" operator="greaterThan">
      <formula>25</formula>
    </cfRule>
    <cfRule type="cellIs" dxfId="35" priority="2" operator="lessThan">
      <formula>15</formula>
    </cfRule>
    <cfRule type="cellIs" dxfId="34" priority="3" operator="between">
      <formula>15</formula>
      <formula>25</formula>
    </cfRule>
  </conditionalFormatting>
  <conditionalFormatting sqref="U12:U72">
    <cfRule type="cellIs" dxfId="33" priority="4" operator="between">
      <formula>25</formula>
      <formula>27</formula>
    </cfRule>
    <cfRule type="cellIs" dxfId="32" priority="5" operator="lessThan">
      <formula>25</formula>
    </cfRule>
    <cfRule type="cellIs" dxfId="31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AF75"/>
  <sheetViews>
    <sheetView zoomScaleNormal="100" workbookViewId="0">
      <pane ySplit="2" topLeftCell="A30" activePane="bottomLeft" state="frozen"/>
      <selection pane="bottomLeft" activeCell="J37" sqref="J37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hidden="1" customWidth="1"/>
    <col min="4079" max="4080" width="6.7109375" style="1" hidden="1" customWidth="1"/>
    <col min="4081" max="4086" width="5.7109375" style="1" customWidth="1"/>
    <col min="4087" max="4088" width="7.7109375" style="1" customWidth="1"/>
    <col min="4089" max="16384" width="9.140625" style="1"/>
  </cols>
  <sheetData>
    <row r="1" spans="1:4088" ht="18.75" x14ac:dyDescent="0.2">
      <c r="A1" s="979" t="s">
        <v>0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979"/>
      <c r="X1" s="979"/>
      <c r="Y1" s="979"/>
      <c r="Z1" s="979"/>
      <c r="AA1" s="979"/>
      <c r="AB1" s="979"/>
      <c r="AC1" s="652"/>
      <c r="EWM1" s="1">
        <v>5</v>
      </c>
    </row>
    <row r="2" spans="1:4088" ht="18.75" x14ac:dyDescent="0.2">
      <c r="A2" s="979" t="s">
        <v>229</v>
      </c>
      <c r="B2" s="979"/>
      <c r="C2" s="979"/>
      <c r="D2" s="979"/>
      <c r="E2" s="979"/>
      <c r="F2" s="979"/>
      <c r="G2" s="979"/>
      <c r="H2" s="979"/>
      <c r="I2" s="979"/>
      <c r="J2" s="979"/>
      <c r="K2" s="979"/>
      <c r="L2" s="979"/>
      <c r="M2" s="979"/>
      <c r="N2" s="979"/>
      <c r="O2" s="979"/>
      <c r="P2" s="979"/>
      <c r="Q2" s="979"/>
      <c r="R2" s="979"/>
      <c r="S2" s="979"/>
      <c r="T2" s="979"/>
      <c r="U2" s="979"/>
      <c r="V2" s="979"/>
      <c r="W2" s="979"/>
      <c r="X2" s="979"/>
      <c r="Y2" s="20"/>
      <c r="Z2" s="20"/>
      <c r="AA2" s="20"/>
      <c r="AB2" s="20"/>
      <c r="AC2" s="652"/>
    </row>
    <row r="3" spans="1:4088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27" t="str">
        <f>HIGRO!X8</f>
        <v>Date(Ngày): 14/05/2026</v>
      </c>
      <c r="X3" s="927"/>
      <c r="Y3" s="20"/>
      <c r="Z3" s="20"/>
      <c r="AB3" s="3"/>
      <c r="AC3" s="653"/>
    </row>
    <row r="4" spans="1:4088" s="5" customFormat="1" ht="21" customHeight="1" x14ac:dyDescent="0.2">
      <c r="A4" s="996" t="s">
        <v>274</v>
      </c>
      <c r="B4" s="997"/>
      <c r="C4" s="997"/>
      <c r="D4" s="997"/>
      <c r="E4" s="997"/>
      <c r="F4" s="997"/>
      <c r="G4" s="997"/>
      <c r="H4" s="997"/>
      <c r="I4" s="997"/>
      <c r="J4" s="997"/>
      <c r="K4" s="997"/>
      <c r="L4" s="997"/>
      <c r="M4" s="998"/>
      <c r="N4" s="928" t="s">
        <v>252</v>
      </c>
      <c r="O4" s="929"/>
      <c r="P4" s="949" t="s">
        <v>255</v>
      </c>
      <c r="Q4" s="950"/>
      <c r="R4" s="950"/>
      <c r="S4" s="950"/>
      <c r="T4" s="950"/>
      <c r="U4" s="980" t="s">
        <v>260</v>
      </c>
      <c r="V4" s="983" t="s">
        <v>259</v>
      </c>
      <c r="W4" s="986" t="s">
        <v>265</v>
      </c>
      <c r="X4" s="989" t="s">
        <v>262</v>
      </c>
      <c r="Y4" s="991" t="s">
        <v>1</v>
      </c>
      <c r="Z4" s="992"/>
      <c r="AA4" s="992"/>
      <c r="AB4" s="993"/>
      <c r="AC4" s="978" t="s">
        <v>327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8" s="6" customFormat="1" ht="23.25" customHeight="1" thickBot="1" x14ac:dyDescent="0.25">
      <c r="A5" s="989" t="s">
        <v>248</v>
      </c>
      <c r="B5" s="983" t="s">
        <v>249</v>
      </c>
      <c r="C5" s="1001" t="s">
        <v>250</v>
      </c>
      <c r="D5" s="989" t="s">
        <v>251</v>
      </c>
      <c r="E5" s="919" t="s">
        <v>232</v>
      </c>
      <c r="F5" s="920"/>
      <c r="G5" s="919" t="s">
        <v>233</v>
      </c>
      <c r="H5" s="920"/>
      <c r="I5" s="919" t="s">
        <v>234</v>
      </c>
      <c r="J5" s="920"/>
      <c r="K5" s="1004" t="s">
        <v>235</v>
      </c>
      <c r="L5" s="1005"/>
      <c r="M5" s="1006"/>
      <c r="N5" s="933" t="s">
        <v>254</v>
      </c>
      <c r="O5" s="933" t="s">
        <v>253</v>
      </c>
      <c r="P5" s="954" t="s">
        <v>256</v>
      </c>
      <c r="Q5" s="954" t="s">
        <v>253</v>
      </c>
      <c r="R5" s="951" t="s">
        <v>257</v>
      </c>
      <c r="S5" s="316"/>
      <c r="T5" s="953" t="s">
        <v>258</v>
      </c>
      <c r="U5" s="981"/>
      <c r="V5" s="984"/>
      <c r="W5" s="987"/>
      <c r="X5" s="990"/>
      <c r="Y5" s="994" t="s">
        <v>10</v>
      </c>
      <c r="Z5" s="994" t="s">
        <v>11</v>
      </c>
      <c r="AA5" s="994" t="s">
        <v>12</v>
      </c>
      <c r="AB5" s="994" t="s">
        <v>18</v>
      </c>
      <c r="AC5" s="978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  <c r="FAF5" s="44">
        <v>6</v>
      </c>
    </row>
    <row r="6" spans="1:4088" s="6" customFormat="1" ht="38.25" customHeight="1" thickBot="1" x14ac:dyDescent="0.25">
      <c r="A6" s="990"/>
      <c r="B6" s="1003"/>
      <c r="C6" s="1002"/>
      <c r="D6" s="990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35"/>
      <c r="O6" s="935"/>
      <c r="P6" s="955"/>
      <c r="Q6" s="955"/>
      <c r="R6" s="952"/>
      <c r="S6" s="316"/>
      <c r="T6" s="953"/>
      <c r="U6" s="982"/>
      <c r="V6" s="985"/>
      <c r="W6" s="988"/>
      <c r="X6" s="990"/>
      <c r="Y6" s="1007"/>
      <c r="Z6" s="995"/>
      <c r="AA6" s="995"/>
      <c r="AB6" s="995"/>
      <c r="AC6" s="978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  <c r="EZY6" s="680">
        <v>12</v>
      </c>
      <c r="EZZ6" s="681">
        <v>13</v>
      </c>
      <c r="FAA6" s="681">
        <v>14</v>
      </c>
      <c r="FAB6" s="681">
        <v>15</v>
      </c>
      <c r="FAC6" s="681">
        <v>16</v>
      </c>
      <c r="FAD6" s="681">
        <v>17</v>
      </c>
      <c r="FAE6" s="874" t="s">
        <v>263</v>
      </c>
      <c r="FAF6" s="875" t="s">
        <v>264</v>
      </c>
    </row>
    <row r="7" spans="1:4088" s="8" customFormat="1" ht="15" customHeight="1" x14ac:dyDescent="0.2">
      <c r="A7" s="301">
        <v>1</v>
      </c>
      <c r="B7" s="21" t="s">
        <v>56</v>
      </c>
      <c r="C7" s="275" t="s">
        <v>290</v>
      </c>
      <c r="D7" s="21">
        <v>25</v>
      </c>
      <c r="E7" s="24"/>
      <c r="F7" s="24">
        <v>1412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1412</v>
      </c>
      <c r="M7" s="24">
        <f>K7+L7</f>
        <v>1412</v>
      </c>
      <c r="N7" s="15">
        <v>0</v>
      </c>
      <c r="O7" s="276">
        <f>IF(N7=0,0,M7/N7)</f>
        <v>0</v>
      </c>
      <c r="P7" s="712">
        <v>714.33333333333337</v>
      </c>
      <c r="Q7" s="276">
        <f>IF(P7=0,0,M7/P7*6)</f>
        <v>11.860009332711151</v>
      </c>
      <c r="R7" s="277">
        <f>S7/$S$3</f>
        <v>76.92307692307692</v>
      </c>
      <c r="S7" s="222">
        <v>2000</v>
      </c>
      <c r="T7" s="276">
        <f>IF(R7=0,0,M7/R7)</f>
        <v>18.356000000000002</v>
      </c>
      <c r="U7" s="303"/>
      <c r="V7" s="302">
        <f>IF(R7=0,0,(M7+U7)/R7)</f>
        <v>18.356000000000002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5">SUM(EZI7:EZN7)</f>
        <v>299</v>
      </c>
      <c r="EZP7" s="873">
        <f>EZO7/$EZP$5</f>
        <v>49.833333333333336</v>
      </c>
      <c r="EZQ7" s="702">
        <v>0</v>
      </c>
      <c r="EZR7" s="703"/>
      <c r="EZS7" s="703">
        <v>0</v>
      </c>
      <c r="EZT7" s="703"/>
      <c r="EZU7" s="703"/>
      <c r="EZV7" s="703">
        <v>0</v>
      </c>
      <c r="EZW7" s="876">
        <f t="shared" ref="EZW7" si="186">SUM(EZQ7:EZV7)</f>
        <v>0</v>
      </c>
      <c r="EZX7" s="877">
        <f>EZW7/$EZX$5</f>
        <v>0</v>
      </c>
      <c r="EZY7" s="683">
        <v>399</v>
      </c>
      <c r="EZZ7" s="684">
        <v>0</v>
      </c>
      <c r="FAA7" s="684"/>
      <c r="FAB7" s="684"/>
      <c r="FAC7" s="684"/>
      <c r="FAD7" s="684"/>
      <c r="FAE7" s="876">
        <f t="shared" ref="FAE7" si="187">SUM(EZY7:FAD7)</f>
        <v>399</v>
      </c>
      <c r="FAF7" s="877">
        <f>FAE7/$FAF$5</f>
        <v>66.5</v>
      </c>
    </row>
    <row r="8" spans="1:4088" s="8" customFormat="1" ht="15" customHeight="1" x14ac:dyDescent="0.2">
      <c r="A8" s="301">
        <v>2</v>
      </c>
      <c r="B8" s="21" t="s">
        <v>75</v>
      </c>
      <c r="C8" s="275" t="s">
        <v>291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3" si="188">E8+G8-I8</f>
        <v>0</v>
      </c>
      <c r="L8" s="24">
        <f t="shared" ref="L8:L21" si="189">F8+H8-J8</f>
        <v>1171</v>
      </c>
      <c r="M8" s="24">
        <f t="shared" ref="M8:M21" si="190">K8+L8</f>
        <v>1171</v>
      </c>
      <c r="N8" s="724">
        <v>32.166666666666664</v>
      </c>
      <c r="O8" s="276">
        <f t="shared" ref="O8:O17" si="191">IF(N8=0,0,M8/N8)</f>
        <v>36.404145077720209</v>
      </c>
      <c r="P8" s="712">
        <v>0</v>
      </c>
      <c r="Q8" s="276">
        <f t="shared" ref="Q8:Q21" si="192">IF(P8=0,0,M8/P8*6)</f>
        <v>0</v>
      </c>
      <c r="R8" s="277">
        <f t="shared" ref="R8:R21" si="193">S8/$S$3</f>
        <v>36.92307692307692</v>
      </c>
      <c r="S8" s="222">
        <v>960</v>
      </c>
      <c r="T8" s="276">
        <f t="shared" ref="T8:T17" si="194">IF(R8=0,0,M8/R8)</f>
        <v>31.714583333333337</v>
      </c>
      <c r="U8" s="303"/>
      <c r="V8" s="302">
        <f t="shared" ref="V8:V15" si="195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6">SUM(JZ8:KE8)</f>
        <v>0</v>
      </c>
      <c r="KG8" s="43">
        <f t="shared" ref="KG8:KG21" si="197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8">SUM(KH8:KM8)</f>
        <v>959</v>
      </c>
      <c r="KO8" s="68">
        <f t="shared" ref="KO8:KO21" si="199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200">SUM(KP8:KU8)</f>
        <v>1593</v>
      </c>
      <c r="KW8" s="68">
        <f t="shared" ref="KW8:KW21" si="201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2">SUM(KX8:LC8)</f>
        <v>993</v>
      </c>
      <c r="LE8" s="68">
        <f t="shared" ref="LE8:LE21" si="203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4">SUM(LF8:LK8)</f>
        <v>1823</v>
      </c>
      <c r="LM8" s="68">
        <f t="shared" ref="LM8:LM21" si="205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6">SUM(LN8:LS8)</f>
        <v>2751</v>
      </c>
      <c r="LU8" s="68">
        <f t="shared" ref="LU8:LU21" si="207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8">SUM(LV8:MA8)</f>
        <v>1653</v>
      </c>
      <c r="MC8" s="68">
        <f t="shared" ref="MC8:MC21" si="209">MB8/$KN$5</f>
        <v>275.5</v>
      </c>
      <c r="MD8" s="48"/>
      <c r="ME8" s="49"/>
      <c r="MF8" s="49"/>
      <c r="MG8" s="49"/>
      <c r="MH8" s="49"/>
      <c r="MI8" s="49"/>
      <c r="MJ8" s="67">
        <f t="shared" ref="MJ8:MJ21" si="210">SUM(MD8:MI8)</f>
        <v>0</v>
      </c>
      <c r="MK8" s="68">
        <f t="shared" ref="MK8:MK21" si="211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2">SUM(ML8:MQ8)</f>
        <v>2359</v>
      </c>
      <c r="MS8" s="68">
        <f t="shared" ref="MS8:MS21" si="213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4">SUM(MT8:MY8)</f>
        <v>0</v>
      </c>
      <c r="NA8" s="68">
        <f t="shared" ref="NA8:NA21" si="215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6">SUM(NB8:NG8)</f>
        <v>3689</v>
      </c>
      <c r="NI8" s="68">
        <f t="shared" ref="NI8:NI21" si="217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8">SUM(NJ8:NO8)</f>
        <v>0</v>
      </c>
      <c r="NQ8" s="68">
        <f t="shared" ref="NQ8:NQ21" si="219">NP8/$KN$5</f>
        <v>0</v>
      </c>
      <c r="NR8" s="48"/>
      <c r="NS8" s="49"/>
      <c r="NT8" s="49"/>
      <c r="NU8" s="49"/>
      <c r="NV8" s="49"/>
      <c r="NW8" s="49"/>
      <c r="NX8" s="67">
        <f t="shared" ref="NX8:NX21" si="220">SUM(NR8:NW8)</f>
        <v>0</v>
      </c>
      <c r="NY8" s="68">
        <f t="shared" ref="NY8:NY21" si="221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2">SUM(NZ8:OE8)</f>
        <v>1657</v>
      </c>
      <c r="OG8" s="68">
        <f t="shared" ref="OG8:OG21" si="223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4">SUM(OH8:OM8)</f>
        <v>0</v>
      </c>
      <c r="OO8" s="68">
        <f t="shared" ref="OO8:OO21" si="225">ON8/$KN$5</f>
        <v>0</v>
      </c>
      <c r="OP8" s="48"/>
      <c r="OQ8" s="49"/>
      <c r="OR8" s="49"/>
      <c r="OS8" s="49"/>
      <c r="OT8" s="49"/>
      <c r="OU8" s="49"/>
      <c r="OV8" s="67">
        <f t="shared" ref="OV8:OV21" si="226">SUM(OP8:OU8)</f>
        <v>0</v>
      </c>
      <c r="OW8" s="68">
        <f t="shared" ref="OW8:OW21" si="227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8">SUM(OX8:PC8)</f>
        <v>1419</v>
      </c>
      <c r="PE8" s="68">
        <f t="shared" ref="PE8:PE21" si="229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30">SUM(PF8:PK8)</f>
        <v>1987</v>
      </c>
      <c r="PM8" s="68">
        <f t="shared" ref="PM8:PM21" si="231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2">SUM(PN8:PS8)</f>
        <v>1919</v>
      </c>
      <c r="PU8" s="105">
        <f t="shared" ref="PU8:PU21" si="233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4">SUM(PV8:QA8)</f>
        <v>1008</v>
      </c>
      <c r="QC8" s="105">
        <f t="shared" ref="QC8:QC21" si="235">QB8/$PU$5</f>
        <v>168</v>
      </c>
      <c r="QD8" s="106"/>
      <c r="QE8" s="107"/>
      <c r="QF8" s="107"/>
      <c r="QG8" s="107"/>
      <c r="QH8" s="107"/>
      <c r="QI8" s="107"/>
      <c r="QJ8" s="104">
        <f t="shared" ref="QJ8:QJ21" si="236">SUM(QD8:QI8)</f>
        <v>0</v>
      </c>
      <c r="QK8" s="105">
        <f t="shared" ref="QK8:QK21" si="237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8">SUM(QL8:QQ8)</f>
        <v>1975</v>
      </c>
      <c r="QS8" s="105">
        <f t="shared" ref="QS8:QS21" si="239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40">SUM(QT8:QY8)</f>
        <v>0</v>
      </c>
      <c r="RA8" s="105">
        <f t="shared" ref="RA8:RA21" si="241">QZ8/$PU$5</f>
        <v>0</v>
      </c>
      <c r="RB8" s="106"/>
      <c r="RC8" s="107"/>
      <c r="RD8" s="107"/>
      <c r="RE8" s="107"/>
      <c r="RF8" s="107"/>
      <c r="RG8" s="107"/>
      <c r="RH8" s="104">
        <f t="shared" ref="RH8:RH21" si="242">SUM(RB8:RG8)</f>
        <v>0</v>
      </c>
      <c r="RI8" s="105">
        <f t="shared" ref="RI8:RI21" si="243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4">SUM(RJ8:RO8)</f>
        <v>1667</v>
      </c>
      <c r="RQ8" s="105">
        <f t="shared" ref="RQ8:RQ21" si="245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6">SUM(RR8:RW8)</f>
        <v>0</v>
      </c>
      <c r="RY8" s="105">
        <f t="shared" ref="RY8:RY21" si="247">RX8/$PU$5</f>
        <v>0</v>
      </c>
      <c r="RZ8" s="106"/>
      <c r="SA8" s="107"/>
      <c r="SB8" s="107"/>
      <c r="SC8" s="107"/>
      <c r="SD8" s="107"/>
      <c r="SE8" s="107"/>
      <c r="SF8" s="104">
        <f t="shared" ref="SF8:SF21" si="248">SUM(RZ8:SE8)</f>
        <v>0</v>
      </c>
      <c r="SG8" s="105">
        <f t="shared" ref="SG8:SG21" si="249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50">SUM(SH8:SM8)</f>
        <v>1998</v>
      </c>
      <c r="SO8" s="105">
        <f t="shared" ref="SO8:SO21" si="251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2">SUM(SP8:SU8)</f>
        <v>1987</v>
      </c>
      <c r="SW8" s="105">
        <f t="shared" ref="SW8:SW21" si="253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4">SUM(SX8:TC8)</f>
        <v>0</v>
      </c>
      <c r="TE8" s="105">
        <f t="shared" ref="TE8:TE21" si="255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6">SUM(TF8:TK8)</f>
        <v>2006</v>
      </c>
      <c r="TM8" s="105">
        <f t="shared" ref="TM8:TM21" si="257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8">SUM(TN8:TS8)</f>
        <v>0</v>
      </c>
      <c r="TU8" s="105">
        <f t="shared" ref="TU8:TU21" si="259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60">SUM(TV8:UA8)</f>
        <v>2703</v>
      </c>
      <c r="UC8" s="105">
        <f t="shared" ref="UC8:UC21" si="261">UB8/$PU$5</f>
        <v>450.5</v>
      </c>
      <c r="UD8" s="106"/>
      <c r="UE8" s="107"/>
      <c r="UF8" s="107"/>
      <c r="UG8" s="107"/>
      <c r="UH8" s="107"/>
      <c r="UI8" s="107"/>
      <c r="UJ8" s="104">
        <f t="shared" ref="UJ8:UJ21" si="262">SUM(UD8:UI8)</f>
        <v>0</v>
      </c>
      <c r="UK8" s="105">
        <f t="shared" ref="UK8:UK21" si="263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4">SUM(UL8:UR8)</f>
        <v>1659</v>
      </c>
      <c r="UT8" s="105">
        <f t="shared" ref="UT8:UT21" si="265">US8/$PU$5</f>
        <v>276.5</v>
      </c>
      <c r="UU8" s="106"/>
      <c r="UV8" s="107"/>
      <c r="UW8" s="107"/>
      <c r="UX8" s="107"/>
      <c r="UY8" s="107"/>
      <c r="UZ8" s="107"/>
      <c r="VA8" s="104">
        <f t="shared" ref="VA8:VA21" si="266">SUM(UU8:UZ8)</f>
        <v>0</v>
      </c>
      <c r="VB8" s="105">
        <f t="shared" ref="VB8:VB21" si="267">VA8/$VB$5</f>
        <v>0</v>
      </c>
      <c r="VC8" s="106"/>
      <c r="VD8" s="107"/>
      <c r="VE8" s="107"/>
      <c r="VF8" s="107"/>
      <c r="VG8" s="107"/>
      <c r="VH8" s="107"/>
      <c r="VI8" s="104">
        <f t="shared" ref="VI8:VI21" si="268">SUM(VC8:VH8)</f>
        <v>0</v>
      </c>
      <c r="VJ8" s="105">
        <f t="shared" ref="VJ8:VJ21" si="269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70">SUM(VK8:VP8)</f>
        <v>1666</v>
      </c>
      <c r="VR8" s="105">
        <f t="shared" ref="VR8:VR21" si="271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2">SUM(VS8:VX8)</f>
        <v>0</v>
      </c>
      <c r="VZ8" s="105">
        <f t="shared" ref="VZ8:VZ21" si="273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4">SUM(WA8:WF8)</f>
        <v>329</v>
      </c>
      <c r="WH8" s="68">
        <f t="shared" ref="WH8:WH21" si="275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6">SUM(WI8:WN8)</f>
        <v>1691</v>
      </c>
      <c r="WP8" s="68">
        <f t="shared" ref="WP8:WP21" si="277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8">SUM(WR8:WW8)</f>
        <v>0</v>
      </c>
      <c r="WY8" s="68">
        <f t="shared" ref="WY8:WY21" si="279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80">SUM(XA8:XF8)</f>
        <v>1329</v>
      </c>
      <c r="XH8" s="68">
        <f t="shared" ref="XH8:XH21" si="281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2">SUM(XJ8:XO8)</f>
        <v>1677</v>
      </c>
      <c r="XQ8" s="105">
        <f t="shared" ref="XQ8:XQ21" si="283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4">SUM(XS8:XX8)</f>
        <v>0</v>
      </c>
      <c r="XZ8" s="68">
        <f t="shared" ref="XZ8:XZ21" si="285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6">SUM(YB8:YG8)</f>
        <v>0</v>
      </c>
      <c r="YI8" s="68">
        <f t="shared" ref="YI8:YI21" si="287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8">SUM(YK8:YP8)</f>
        <v>1341</v>
      </c>
      <c r="YR8" s="68">
        <f t="shared" ref="YR8:YR21" si="289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90">SUM(YS8:YX8)</f>
        <v>1364</v>
      </c>
      <c r="YZ8" s="68">
        <f t="shared" ref="YZ8:YZ21" si="291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2">SUM(ZA8:ZF8)</f>
        <v>0</v>
      </c>
      <c r="ZH8" s="68">
        <f t="shared" ref="ZH8:ZH21" si="293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4">SUM(ZI8:ZN8)</f>
        <v>1337</v>
      </c>
      <c r="ZP8" s="68">
        <f t="shared" ref="ZP8:ZP21" si="295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6">SUM(ZQ8:ZW8)</f>
        <v>1330</v>
      </c>
      <c r="ZY8" s="68">
        <f t="shared" ref="ZY8:ZY21" si="297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8">SUM(ZZ8:AAF8)</f>
        <v>1330</v>
      </c>
      <c r="AAH8" s="68">
        <f t="shared" ref="AAH8:AAH21" si="299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300">SUM(AAI8:AAN8)</f>
        <v>0</v>
      </c>
      <c r="AAP8" s="68">
        <f t="shared" ref="AAP8:AAP21" si="301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2">SUM(AAQ8:AAV8)</f>
        <v>1334</v>
      </c>
      <c r="AAX8" s="68">
        <f t="shared" ref="AAX8:AAX21" si="303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4">SUM(AAY8:ABD8)</f>
        <v>1359</v>
      </c>
      <c r="ABF8" s="68">
        <f t="shared" ref="ABF8:ABF21" si="305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6">SUM(ABG8:ABL8)</f>
        <v>0</v>
      </c>
      <c r="ABN8" s="68">
        <f t="shared" ref="ABN8:ABN21" si="307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8">SUM(ABO8:ABT8)</f>
        <v>1687</v>
      </c>
      <c r="ABV8" s="68">
        <f t="shared" ref="ABV8:ABV21" si="309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10">SUM(ABW8:ACB8)</f>
        <v>1643</v>
      </c>
      <c r="ACD8" s="68">
        <f t="shared" ref="ACD8:ACD21" si="311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2">SUM(ACE8:ACJ8)</f>
        <v>0</v>
      </c>
      <c r="ACL8" s="68">
        <f t="shared" ref="ACL8:ACL21" si="313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4">SUM(ACM8:ACR8)</f>
        <v>1662</v>
      </c>
      <c r="ACT8" s="68">
        <f t="shared" ref="ACT8:ACT21" si="315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6">SUM(ACU8:ACZ8)</f>
        <v>0</v>
      </c>
      <c r="ADB8" s="68">
        <f t="shared" ref="ADB8:ADB21" si="317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8">SUM(ADC8:ADH8)</f>
        <v>1687</v>
      </c>
      <c r="ADJ8" s="68">
        <f t="shared" ref="ADJ8:ADJ21" si="319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20">SUM(ADK8:ADP8)</f>
        <v>1636</v>
      </c>
      <c r="ADR8" s="68">
        <f t="shared" ref="ADR8:ADR21" si="321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2">SUM(ADS8:ADX8)</f>
        <v>0</v>
      </c>
      <c r="ADZ8" s="68">
        <f t="shared" ref="ADZ8:ADZ21" si="323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4">SUM(AEA8:AEF8)</f>
        <v>1347</v>
      </c>
      <c r="AEH8" s="68">
        <f t="shared" ref="AEH8:AEH21" si="325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6">SUM(AEI8:AEN8)</f>
        <v>1665</v>
      </c>
      <c r="AEP8" s="68">
        <f t="shared" ref="AEP8:AEP21" si="327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8">SUM(AEQ8:AEV8)</f>
        <v>0</v>
      </c>
      <c r="AEX8" s="68">
        <f t="shared" ref="AEX8:AEX21" si="329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30">SUM(AEY8:AFD8)</f>
        <v>1698</v>
      </c>
      <c r="AFF8" s="68">
        <f t="shared" ref="AFF8:AFF21" si="331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2">SUM(AFG8:AFL8)</f>
        <v>0</v>
      </c>
      <c r="AFN8" s="68">
        <f t="shared" ref="AFN8:AFN21" si="333">AFM8/$VJ$5</f>
        <v>0</v>
      </c>
      <c r="AFO8" s="48"/>
      <c r="AFP8" s="49"/>
      <c r="AFQ8" s="49"/>
      <c r="AFR8" s="49"/>
      <c r="AFS8" s="49"/>
      <c r="AFT8" s="49"/>
      <c r="AFU8" s="67">
        <f t="shared" ref="AFU8:AFU21" si="334">SUM(AFO8:AFT8)</f>
        <v>0</v>
      </c>
      <c r="AFV8" s="68">
        <f t="shared" ref="AFV8:AFV21" si="335">AFU8/$VJ$5</f>
        <v>0</v>
      </c>
      <c r="AFW8" s="48"/>
      <c r="AFX8" s="49"/>
      <c r="AFY8" s="49"/>
      <c r="AFZ8" s="49"/>
      <c r="AGA8" s="49"/>
      <c r="AGB8" s="49"/>
      <c r="AGC8" s="67">
        <f t="shared" ref="AGC8:AGC21" si="336">SUM(AFW8:AGB8)</f>
        <v>0</v>
      </c>
      <c r="AGD8" s="68">
        <f t="shared" ref="AGD8:AGD21" si="337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8">SUM(AGE8:AGJ8)</f>
        <v>1683</v>
      </c>
      <c r="AGL8" s="68">
        <f t="shared" ref="AGL8:AGL21" si="339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40">SUM(AGN8:AGS8)</f>
        <v>0</v>
      </c>
      <c r="AGU8" s="68">
        <f t="shared" ref="AGU8:AGU21" si="341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2">SUM(AGV8:AHA8)</f>
        <v>1357</v>
      </c>
      <c r="AHC8" s="68">
        <f t="shared" ref="AHC8:AHC21" si="343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4">SUM(AHD8:AHI8)</f>
        <v>0</v>
      </c>
      <c r="AHK8" s="68">
        <f t="shared" ref="AHK8:AHK21" si="345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6">SUM(AHL8:AHQ8)</f>
        <v>1300</v>
      </c>
      <c r="AHS8" s="68">
        <f t="shared" ref="AHS8:AHS21" si="347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8">SUM(AHT8:AHY8)</f>
        <v>1356</v>
      </c>
      <c r="AIA8" s="68">
        <f t="shared" ref="AIA8:AIA21" si="349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50">SUM(AIB8:AIG8)</f>
        <v>0</v>
      </c>
      <c r="AII8" s="68">
        <f t="shared" ref="AII8:AII21" si="351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2">SUM(AIJ8:AIO8)</f>
        <v>1351</v>
      </c>
      <c r="AIQ8" s="68">
        <f t="shared" ref="AIQ8:AIQ21" si="353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4">SUM(AIR8:AIW8)</f>
        <v>1327</v>
      </c>
      <c r="AIY8" s="68">
        <f t="shared" ref="AIY8:AIY21" si="355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6">SUM(AIZ8:AJE8)</f>
        <v>1343</v>
      </c>
      <c r="AJG8" s="68">
        <f t="shared" ref="AJG8:AJG21" si="357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8">SUM(AJH8:AJM8)</f>
        <v>1341</v>
      </c>
      <c r="AJO8" s="43">
        <f t="shared" ref="AJO8:AJO21" si="359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60">SUM(AJP8:AJU8)</f>
        <v>0</v>
      </c>
      <c r="AJW8" s="43">
        <f t="shared" ref="AJW8:AJW21" si="361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2">SUM(AJX8:AKC8)</f>
        <v>1647</v>
      </c>
      <c r="AKE8" s="68">
        <f t="shared" ref="AKE8:AKE21" si="363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4">SUM(AKF8:AKK8)</f>
        <v>0</v>
      </c>
      <c r="AKM8" s="184">
        <f t="shared" ref="AKM8:AKM21" si="365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6">SUM(AKN8:AKS8)</f>
        <v>1341</v>
      </c>
      <c r="AKU8" s="184">
        <f t="shared" ref="AKU8:AKU21" si="367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8">SUM(AKV8:ALA8)</f>
        <v>0</v>
      </c>
      <c r="ALC8" s="68">
        <f t="shared" ref="ALC8:ALC21" si="369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70">SUM(ALD8:ALI8)</f>
        <v>1328</v>
      </c>
      <c r="ALK8" s="68">
        <f t="shared" ref="ALK8:ALK21" si="371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2">SUM(ALL8:ALQ8)</f>
        <v>0</v>
      </c>
      <c r="ALS8" s="68">
        <f t="shared" ref="ALS8:ALS21" si="373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4">SUM(ALT8:ALY8)</f>
        <v>2601</v>
      </c>
      <c r="AMA8" s="68">
        <f t="shared" ref="AMA8:AMA21" si="375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6">SUM(AMB8:AMG8)</f>
        <v>0</v>
      </c>
      <c r="AMI8" s="68">
        <f t="shared" ref="AMI8:AMI21" si="377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8">SUM(AMJ8:AMO8)</f>
        <v>1023</v>
      </c>
      <c r="AMQ8" s="68">
        <f t="shared" ref="AMQ8:AMQ21" si="379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80">SUM(AMR8:AMW8)</f>
        <v>1046</v>
      </c>
      <c r="AMY8" s="68">
        <f t="shared" ref="AMY8:AMY21" si="381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2">SUM(AMZ8:ANE8)</f>
        <v>271</v>
      </c>
      <c r="ANG8" s="68">
        <f t="shared" ref="ANG8:ANG21" si="383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4">SUM(ANH8:ANM8)</f>
        <v>0</v>
      </c>
      <c r="ANO8" s="68">
        <f t="shared" ref="ANO8:ANO21" si="385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6">SUM(ANP8:ANU8)</f>
        <v>1347</v>
      </c>
      <c r="ANW8" s="68">
        <f t="shared" ref="ANW8:ANW21" si="387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8">SUM(ANX8:AOC8)</f>
        <v>0</v>
      </c>
      <c r="AOE8" s="68">
        <f t="shared" ref="AOE8:AOE21" si="389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90">SUM(AOF8:AOK8)</f>
        <v>1694</v>
      </c>
      <c r="AOM8" s="68">
        <f t="shared" ref="AOM8:AOM21" si="391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2">SUM(AON8:AOS8)</f>
        <v>0</v>
      </c>
      <c r="AOU8" s="68">
        <f t="shared" ref="AOU8:AOU21" si="393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4">SUM(AOV8:APA8)</f>
        <v>1257</v>
      </c>
      <c r="APC8" s="68">
        <f t="shared" ref="APC8:APC21" si="395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6">SUM(APD8:API8)</f>
        <v>1185</v>
      </c>
      <c r="APK8" s="68">
        <f t="shared" ref="APK8:APK21" si="397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8">SUM(APL8:APQ8)</f>
        <v>0</v>
      </c>
      <c r="APS8" s="68">
        <f t="shared" ref="APS8:APS21" si="399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400">SUM(APT8:APY8)</f>
        <v>1479</v>
      </c>
      <c r="AQA8" s="68">
        <f t="shared" ref="AQA8:AQA21" si="401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2">SUM(AQB8:AQG8)</f>
        <v>0</v>
      </c>
      <c r="AQI8" s="68">
        <f t="shared" ref="AQI8:AQI21" si="403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4">SUM(AQJ8:AQO8)</f>
        <v>1047</v>
      </c>
      <c r="AQQ8" s="68">
        <f t="shared" ref="AQQ8:AQQ21" si="405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6">SUM(AQR8:AQW8)</f>
        <v>594</v>
      </c>
      <c r="AQY8" s="68">
        <f t="shared" ref="AQY8:AQY21" si="407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8">SUM(AQZ8:ARE8)</f>
        <v>677</v>
      </c>
      <c r="ARG8" s="68">
        <f t="shared" ref="ARG8:ARG21" si="409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10">SUM(ARH8:ARM8)</f>
        <v>0</v>
      </c>
      <c r="ARO8" s="68">
        <f t="shared" ref="ARO8:ARO21" si="411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2">SUM(ARP8:ARU8)</f>
        <v>571</v>
      </c>
      <c r="ARW8" s="68">
        <f t="shared" ref="ARW8:ARW21" si="413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4">SUM(ARX8:ASC8)</f>
        <v>636</v>
      </c>
      <c r="ASE8" s="68">
        <f t="shared" ref="ASE8:ASE21" si="415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6">SUM(ASF8:ASK8)</f>
        <v>1481</v>
      </c>
      <c r="ASM8" s="68">
        <f t="shared" ref="ASM8:ASM21" si="417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8">SUM(ASN8:ASS8)</f>
        <v>0</v>
      </c>
      <c r="ASU8" s="68">
        <f t="shared" ref="ASU8:ASU21" si="419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20">SUM(ASV8:ATA8)</f>
        <v>1325</v>
      </c>
      <c r="ATC8" s="68">
        <f t="shared" ref="ATC8:ATC21" si="421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2">SUM(ATD8:ATI8)</f>
        <v>1478</v>
      </c>
      <c r="ATK8" s="68">
        <f t="shared" ref="ATK8:ATK21" si="423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4">SUM(ATL8:ATQ8)</f>
        <v>1182</v>
      </c>
      <c r="ATS8" s="68">
        <f t="shared" ref="ATS8:ATS21" si="425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6">SUM(ATT8:ATY8)</f>
        <v>1026</v>
      </c>
      <c r="AUA8" s="68">
        <f t="shared" ref="AUA8:AUA21" si="427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8">SUM(AUB8:AUG8)</f>
        <v>0</v>
      </c>
      <c r="AUI8" s="68">
        <f t="shared" ref="AUI8:AUI21" si="429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30">SUM(AUJ8:AUO8)</f>
        <v>1681</v>
      </c>
      <c r="AUQ8" s="68">
        <f t="shared" ref="AUQ8:AUQ21" si="431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2">SUM(AUR8:AUW8)</f>
        <v>0</v>
      </c>
      <c r="AUY8" s="68">
        <f t="shared" ref="AUY8:AUY21" si="433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4">SUM(AUZ8:AVE8)</f>
        <v>1484</v>
      </c>
      <c r="AVG8" s="68">
        <f t="shared" ref="AVG8:AVG21" si="435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6">SUM(AVH8:AVM8)</f>
        <v>0</v>
      </c>
      <c r="AVO8" s="68">
        <f t="shared" ref="AVO8:AVO21" si="437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8">SUM(AVP8:AVU8)</f>
        <v>1841</v>
      </c>
      <c r="AVW8" s="68">
        <f t="shared" ref="AVW8:AVW21" si="439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40">SUM(AVX8:AWC8)</f>
        <v>879</v>
      </c>
      <c r="AWE8" s="68">
        <f t="shared" ref="AWE8:AWE21" si="441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2">SUM(AWF8:AWK8)</f>
        <v>0</v>
      </c>
      <c r="AWM8" s="68">
        <f t="shared" ref="AWM8:AWM21" si="443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4">SUM(AWN8:AWS8)</f>
        <v>920</v>
      </c>
      <c r="AWU8" s="43">
        <f t="shared" ref="AWU8:AWU21" si="445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6">SUM(AWV8:AXA8)</f>
        <v>749</v>
      </c>
      <c r="AXC8" s="43">
        <f t="shared" ref="AXC8:AXC21" si="447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8">SUM(AXD8:AXI8)</f>
        <v>0</v>
      </c>
      <c r="AXK8" s="43">
        <f t="shared" ref="AXK8:AXK21" si="449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50">SUM(AXL8:AXQ8)</f>
        <v>2482</v>
      </c>
      <c r="AXS8" s="43">
        <f t="shared" ref="AXS8:AXS21" si="451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2">SUM(AXT8:AXY8)</f>
        <v>0</v>
      </c>
      <c r="AYA8" s="43">
        <f t="shared" ref="AYA8:AYA21" si="453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4">SUM(AYB8:AYG8)</f>
        <v>1903</v>
      </c>
      <c r="AYI8" s="43">
        <f t="shared" ref="AYI8:AYI21" si="455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6">SUM(AYJ8:AYO8)</f>
        <v>0</v>
      </c>
      <c r="AYQ8" s="43">
        <f t="shared" ref="AYQ8:AYQ21" si="457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8">SUM(AYR8:AYW8)</f>
        <v>1212</v>
      </c>
      <c r="AYY8" s="43">
        <f t="shared" ref="AYY8:AYY21" si="459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60">SUM(AYZ8:AZE8)</f>
        <v>1693</v>
      </c>
      <c r="AZG8" s="43">
        <f t="shared" ref="AZG8:AZG21" si="461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2">SUM(AZH8:AZM8)</f>
        <v>1896</v>
      </c>
      <c r="AZO8" s="43">
        <f t="shared" ref="AZO8:AZO21" si="463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4">SUM(AZP8:AZU8)</f>
        <v>1235</v>
      </c>
      <c r="AZW8" s="43">
        <f t="shared" ref="AZW8:AZW21" si="465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6">SUM(AZX8:BAC8)</f>
        <v>0</v>
      </c>
      <c r="BAE8" s="43">
        <f t="shared" ref="BAE8:BAE21" si="467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8">SUM(BAF8:BAK8)</f>
        <v>1691</v>
      </c>
      <c r="BAM8" s="43">
        <f t="shared" ref="BAM8:BAM21" si="469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70">SUM(BAN8:BAS8)</f>
        <v>0</v>
      </c>
      <c r="BAU8" s="43">
        <f t="shared" ref="BAU8:BAU21" si="471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2">SUM(BAV8:BBA8)</f>
        <v>1878</v>
      </c>
      <c r="BBC8" s="43">
        <f t="shared" ref="BBC8:BBC21" si="473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4">SUM(BBD8:BBI8)</f>
        <v>1508</v>
      </c>
      <c r="BBK8" s="43">
        <f t="shared" ref="BBK8:BBK21" si="475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6">SUM(BBL8:BBQ8)</f>
        <v>821</v>
      </c>
      <c r="BBS8" s="43">
        <f t="shared" ref="BBS8:BBS21" si="477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8">SUM(BBT8:BBY8)</f>
        <v>1605</v>
      </c>
      <c r="BCA8" s="43">
        <f t="shared" ref="BCA8:BCA21" si="479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80">SUM(BCB8:BCG8)</f>
        <v>0</v>
      </c>
      <c r="BCI8" s="43">
        <f t="shared" ref="BCI8:BCI20" si="481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2">SUM(BCJ8:BCO8)</f>
        <v>1258</v>
      </c>
      <c r="BCQ8" s="43">
        <f t="shared" ref="BCQ8:BCQ21" si="483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4">SUM(BCR8:BCW8)</f>
        <v>1852</v>
      </c>
      <c r="BCY8" s="43">
        <f t="shared" ref="BCY8:BCY21" si="485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6">SUM(BCZ8:BDE8)</f>
        <v>400</v>
      </c>
      <c r="BDG8" s="43">
        <f t="shared" ref="BDG8:BDG21" si="487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8">SUM(BDH8:BDM8)</f>
        <v>868</v>
      </c>
      <c r="BDO8" s="43">
        <f t="shared" ref="BDO8:BDO21" si="489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90">SUM(BDP8:BDU8)</f>
        <v>919</v>
      </c>
      <c r="BDW8" s="43">
        <f t="shared" ref="BDW8:BDW21" si="491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2">SUM(BDX8:BEC8)</f>
        <v>1935</v>
      </c>
      <c r="BEE8" s="43">
        <f t="shared" ref="BEE8:BEE21" si="493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4">SUM(BEF8:BEK8)</f>
        <v>1663</v>
      </c>
      <c r="BEM8" s="43">
        <f t="shared" ref="BEM8:BEM21" si="495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6">SUM(BEN8:BES8)</f>
        <v>0</v>
      </c>
      <c r="BEU8" s="43">
        <f t="shared" ref="BEU8:BEU21" si="497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8">SUM(BEV8:BFA8)</f>
        <v>1658</v>
      </c>
      <c r="BFC8" s="43">
        <f t="shared" ref="BFC8:BFC21" si="499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500">SUM(BFD8:BFI8)</f>
        <v>0</v>
      </c>
      <c r="BFK8" s="43">
        <f t="shared" ref="BFK8:BFK21" si="501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2">SUM(BFL8:BFQ8)</f>
        <v>1863</v>
      </c>
      <c r="BFS8" s="43">
        <f t="shared" ref="BFS8:BFS21" si="503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4">SUM(BFT8:BFY8)</f>
        <v>1904</v>
      </c>
      <c r="BGA8" s="43">
        <f t="shared" ref="BGA8:BGA21" si="505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6">SUM(BGB8:BGG8)</f>
        <v>291</v>
      </c>
      <c r="BGI8" s="43">
        <f t="shared" ref="BGI8:BGI21" si="507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8">SUM(BGJ8:BGO8)</f>
        <v>1697</v>
      </c>
      <c r="BGQ8" s="43">
        <f t="shared" ref="BGQ8:BGQ21" si="509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10">SUM(BGR8:BGW8)</f>
        <v>0</v>
      </c>
      <c r="BGY8" s="43">
        <f t="shared" ref="BGY8:BGY21" si="511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2">SUM(BGZ8:BHE8)</f>
        <v>1803</v>
      </c>
      <c r="BHG8" s="43">
        <f t="shared" ref="BHG8:BHG21" si="513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4">SUM(BHH8:BHM8)</f>
        <v>872</v>
      </c>
      <c r="BHO8" s="43">
        <f t="shared" ref="BHO8:BHO21" si="515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6">SUM(BHP8:BHU8)</f>
        <v>678</v>
      </c>
      <c r="BHW8" s="43">
        <f t="shared" ref="BHW8:BHW21" si="517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8">SUM(BHX8:BIC8)</f>
        <v>1339</v>
      </c>
      <c r="BIE8" s="43">
        <f t="shared" ref="BIE8:BIE21" si="519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20">SUM(BIF8:BIK8)</f>
        <v>1259</v>
      </c>
      <c r="BIM8" s="43">
        <f t="shared" ref="BIM8:BIM21" si="521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2">SUM(BIN8:BIS8)</f>
        <v>1346</v>
      </c>
      <c r="BIU8" s="43">
        <f t="shared" ref="BIU8:BIU21" si="523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4">SUM(BIV8:BJA8)</f>
        <v>816</v>
      </c>
      <c r="BJC8" s="43">
        <f t="shared" ref="BJC8:BJC21" si="525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6">SUM(BJD8:BJI8)</f>
        <v>0</v>
      </c>
      <c r="BJK8" s="43">
        <f t="shared" ref="BJK8:BJK21" si="527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8">SUM(BJL8:BJQ8)</f>
        <v>1344</v>
      </c>
      <c r="BJS8" s="43">
        <f t="shared" ref="BJS8:BJS21" si="529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30">SUM(BJT8:BJY8)</f>
        <v>1537</v>
      </c>
      <c r="BKA8" s="43">
        <f t="shared" ref="BKA8:BKA21" si="531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2">SUM(BKB8:BKG8)</f>
        <v>578</v>
      </c>
      <c r="BKI8" s="68">
        <f t="shared" ref="BKI8:BKI21" si="533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4">SUM(BKJ8:BKO8)</f>
        <v>1257</v>
      </c>
      <c r="BKQ8" s="43">
        <f t="shared" ref="BKQ8:BKQ21" si="535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6">SUM(BKR8:BKW8)</f>
        <v>908</v>
      </c>
      <c r="BKY8" s="43">
        <f t="shared" ref="BKY8:BKY21" si="537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8">SUM(BKZ8:BLE8)</f>
        <v>244</v>
      </c>
      <c r="BLG8" s="43">
        <f t="shared" ref="BLG8:BLG21" si="539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40">SUM(BLH8:BLM8)</f>
        <v>0</v>
      </c>
      <c r="BLO8" s="43">
        <f t="shared" ref="BLO8:BLO21" si="541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2">SUM(BLP8:BLU8)</f>
        <v>2420</v>
      </c>
      <c r="BLW8" s="43">
        <f t="shared" ref="BLW8:BLW21" si="543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4">SUM(BLX8:BMC8)</f>
        <v>0</v>
      </c>
      <c r="BME8" s="43">
        <f t="shared" ref="BME8:BME21" si="545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6">SUM(BMF8:BMK8)</f>
        <v>1511</v>
      </c>
      <c r="BMM8" s="43">
        <f t="shared" ref="BMM8:BMM21" si="547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8">SUM(BMN8:BMS8)</f>
        <v>0</v>
      </c>
      <c r="BMU8" s="43">
        <f t="shared" ref="BMU8:BMU21" si="549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50">SUM(BMV8:BNA8)</f>
        <v>1451</v>
      </c>
      <c r="BNC8" s="43">
        <f t="shared" ref="BNC8:BNC21" si="551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2">SUM(BND8:BNI8)</f>
        <v>0</v>
      </c>
      <c r="BNK8" s="43">
        <f t="shared" ref="BNK8:BNK21" si="553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4">SUM(BNL8:BNQ8)</f>
        <v>1637</v>
      </c>
      <c r="BNS8" s="43">
        <f t="shared" ref="BNS8:BNS21" si="555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6">SUM(BNT8:BNY8)</f>
        <v>1540</v>
      </c>
      <c r="BOA8" s="43">
        <f t="shared" ref="BOA8:BOA21" si="557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8">SUM(BOB8:BOG8)</f>
        <v>0</v>
      </c>
      <c r="BOI8" s="43">
        <f t="shared" ref="BOI8:BOI21" si="559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60">SUM(BOJ8:BOO8)</f>
        <v>1675</v>
      </c>
      <c r="BOQ8" s="43">
        <f t="shared" ref="BOQ8:BOQ21" si="561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2">SUM(BOR8:BOW8)</f>
        <v>0</v>
      </c>
      <c r="BOY8" s="43">
        <f t="shared" ref="BOY8:BOY21" si="563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4">SUM(BOZ8:BPE8)</f>
        <v>1648</v>
      </c>
      <c r="BPG8" s="43">
        <f t="shared" ref="BPG8:BPG21" si="565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6">SUM(BPH8:BPM8)</f>
        <v>1335</v>
      </c>
      <c r="BPO8" s="43">
        <f t="shared" ref="BPO8:BPO21" si="567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8">SUM(BPP8:BPU8)</f>
        <v>1192</v>
      </c>
      <c r="BPW8" s="43">
        <f t="shared" ref="BPW8:BPW21" si="569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70">SUM(BPX8:BQC8)</f>
        <v>110</v>
      </c>
      <c r="BQE8" s="43">
        <f t="shared" ref="BQE8:BQE21" si="571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2">SUM(BQF8:BQK8)</f>
        <v>1200</v>
      </c>
      <c r="BQM8" s="43">
        <f t="shared" ref="BQM8:BQM21" si="573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4">SUM(BQN8:BQS8)</f>
        <v>1689</v>
      </c>
      <c r="BQU8" s="43">
        <f t="shared" ref="BQU8:BQU21" si="575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6">SUM(BQV8:BRA8)</f>
        <v>0</v>
      </c>
      <c r="BRC8" s="43">
        <f t="shared" ref="BRC8:BRC21" si="577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8">SUM(BRD8:BRI8)</f>
        <v>1015</v>
      </c>
      <c r="BRK8" s="43">
        <f t="shared" ref="BRK8:BRK21" si="579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80">SUM(BRL8:BRQ8)</f>
        <v>2036</v>
      </c>
      <c r="BRS8" s="68">
        <f t="shared" ref="BRS8:BRS21" si="581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2">SUM(BRT8:BRY8)</f>
        <v>0</v>
      </c>
      <c r="BSA8" s="43">
        <f t="shared" ref="BSA8:BSA21" si="583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4">SUM(BSB8:BSG8)</f>
        <v>2288</v>
      </c>
      <c r="BSI8" s="43">
        <f t="shared" ref="BSI8:BSI21" si="585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6">SUM(BSJ8:BSO8)</f>
        <v>0</v>
      </c>
      <c r="BSQ8" s="43">
        <f t="shared" ref="BSQ8:BSQ21" si="587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8">SUM(BSR8:BSW8)</f>
        <v>1319</v>
      </c>
      <c r="BSY8" s="43">
        <f t="shared" ref="BSY8:BSY21" si="589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90">SUM(BSZ8:BTE8)</f>
        <v>1333</v>
      </c>
      <c r="BTG8" s="43">
        <f t="shared" ref="BTG8:BTG21" si="591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2">SUM(BTH8:BTM8)</f>
        <v>1584</v>
      </c>
      <c r="BTO8" s="68">
        <f t="shared" ref="BTO8:BTO21" si="593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4">SUM(BTP8:BTU8)</f>
        <v>100</v>
      </c>
      <c r="BTW8" s="43">
        <f t="shared" ref="BTW8:BTW21" si="595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6">SUM(BTX8:BUC8)</f>
        <v>0</v>
      </c>
      <c r="BUE8" s="68">
        <f t="shared" ref="BUE8:BUE21" si="597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8">SUM(BUF8:BUK8)</f>
        <v>1612</v>
      </c>
      <c r="BUM8" s="68">
        <f t="shared" ref="BUM8:BUM21" si="599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600">SUM(BUN8:BUS8)</f>
        <v>1301</v>
      </c>
      <c r="BUU8" s="68">
        <f t="shared" ref="BUU8:BUU21" si="601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2">SUM(BUV8:BVA8)</f>
        <v>592</v>
      </c>
      <c r="BVC8" s="68">
        <f t="shared" ref="BVC8:BVC21" si="603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4">SUM(BVD8:BVI8)</f>
        <v>796</v>
      </c>
      <c r="BVK8" s="68">
        <f t="shared" ref="BVK8:BVK21" si="605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6">SUM(BVL8:BVQ8)</f>
        <v>997</v>
      </c>
      <c r="BVS8" s="68">
        <f t="shared" ref="BVS8:BVS21" si="607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8">SUM(BVT8:BVY8)</f>
        <v>1400</v>
      </c>
      <c r="BWA8" s="68">
        <f t="shared" ref="BWA8:BWA21" si="609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10">SUM(BWB8:BWG8)</f>
        <v>1164</v>
      </c>
      <c r="BWI8" s="68">
        <f t="shared" ref="BWI8:BWI21" si="611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2">SUM(BWJ8:BWO8)</f>
        <v>1431</v>
      </c>
      <c r="BWQ8" s="68">
        <f t="shared" ref="BWQ8:BWQ21" si="613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4">SUM(BWR8:BWW8)</f>
        <v>0</v>
      </c>
      <c r="BWY8" s="68">
        <f t="shared" ref="BWY8:BWY21" si="615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6">SUM(BWZ8:BXE8)</f>
        <v>1232</v>
      </c>
      <c r="BXG8" s="68">
        <f t="shared" ref="BXG8:BXG21" si="617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8">SUM(BXH8:BXM8)</f>
        <v>0</v>
      </c>
      <c r="BXO8" s="68">
        <f t="shared" ref="BXO8:BXO21" si="619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20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21">SUM(BXX8:BYC8)</f>
        <v>0</v>
      </c>
      <c r="BYE8" s="68">
        <f t="shared" ref="BYE8:BYE21" si="622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3">SUM(BYF8:BYK8)</f>
        <v>1293</v>
      </c>
      <c r="BYM8" s="68">
        <f t="shared" ref="BYM8:BYM21" si="624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5">SUM(BYN8:BYS8)</f>
        <v>1687</v>
      </c>
      <c r="BYU8" s="68">
        <f t="shared" ref="BYU8:BYU21" si="626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7">SUM(BYV8:BZA8)</f>
        <v>0</v>
      </c>
      <c r="BZC8" s="68">
        <f t="shared" ref="BZC8:BZC21" si="628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9">SUM(BZD8:BZI8)</f>
        <v>1207</v>
      </c>
      <c r="BZK8" s="68">
        <f t="shared" ref="BZK8:BZK21" si="630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31">SUM(BZL8:BZQ8)</f>
        <v>1349</v>
      </c>
      <c r="BZS8" s="68">
        <f t="shared" ref="BZS8:BZS21" si="632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3">SUM(BZT8:BZY8)</f>
        <v>1228</v>
      </c>
      <c r="CAA8" s="68">
        <f t="shared" ref="CAA8:CAA21" si="634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5">SUM(CAB8:CAG8)</f>
        <v>0</v>
      </c>
      <c r="CAI8" s="68">
        <f t="shared" ref="CAI8:CAI21" si="636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7">SUM(CAJ8:CAO8)</f>
        <v>1603</v>
      </c>
      <c r="CAQ8" s="68">
        <f t="shared" ref="CAQ8:CAQ21" si="638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9">SUM(CAR8:CAW8)</f>
        <v>0</v>
      </c>
      <c r="CAY8" s="68">
        <f t="shared" ref="CAY8:CAY21" si="640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41">SUM(CAZ8:CBE8)</f>
        <v>623</v>
      </c>
      <c r="CBG8" s="68">
        <f t="shared" ref="CBG8:CBG21" si="642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3">SUM(CBH8:CBM8)</f>
        <v>0</v>
      </c>
      <c r="CBO8" s="68">
        <f t="shared" ref="CBO8:CBO21" si="644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5">SUM(CBP8:CBU8)</f>
        <v>1315</v>
      </c>
      <c r="CBW8" s="68">
        <f t="shared" ref="CBW8:CBW21" si="646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7">SUM(CBX8:CCC8)</f>
        <v>615</v>
      </c>
      <c r="CCE8" s="68">
        <f t="shared" ref="CCE8:CCE21" si="648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9">SUM(CCF8:CCK8)</f>
        <v>1255</v>
      </c>
      <c r="CCM8" s="68">
        <f t="shared" ref="CCM8:CCM21" si="650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51">SUM(CCN8:CCS8)</f>
        <v>0</v>
      </c>
      <c r="CCU8" s="68">
        <f t="shared" ref="CCU8:CCU21" si="652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3">SUM(CCV8:CDA8)</f>
        <v>1194</v>
      </c>
      <c r="CDC8" s="68">
        <f t="shared" ref="CDC8:CDC21" si="654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5">SUM(CDD8:CDI8)</f>
        <v>1633</v>
      </c>
      <c r="CDK8" s="68">
        <f t="shared" ref="CDK8:CDK21" si="656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7">SUM(CDL8:CDQ8)</f>
        <v>0</v>
      </c>
      <c r="CDS8" s="68">
        <f t="shared" ref="CDS8:CDS21" si="658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9">SUM(CDT8:CDY8)</f>
        <v>1320</v>
      </c>
      <c r="CEA8" s="68">
        <f t="shared" ref="CEA8:CEA21" si="660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61">SUM(CEB8:CEG8)</f>
        <v>0</v>
      </c>
      <c r="CEI8" s="68">
        <f t="shared" ref="CEI8:CEI21" si="662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3">SUM(CEJ8:CEO8)</f>
        <v>1282</v>
      </c>
      <c r="CEQ8" s="68">
        <f t="shared" ref="CEQ8:CEQ21" si="664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5">SUM(CER8:CEW8)</f>
        <v>1301</v>
      </c>
      <c r="CEY8" s="68">
        <f t="shared" ref="CEY8:CEY21" si="666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7">SUM(CEZ8:CFE8)</f>
        <v>0</v>
      </c>
      <c r="CFG8" s="68">
        <f t="shared" ref="CFG8:CFG21" si="668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9">SUM(CFH8:CFM8)</f>
        <v>582</v>
      </c>
      <c r="CFO8" s="68">
        <f t="shared" ref="CFO8:CFO21" si="670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71">SUM(CFP8:CFU8)</f>
        <v>1986</v>
      </c>
      <c r="CFW8" s="68">
        <f t="shared" ref="CFW8:CFW21" si="672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3">SUM(CFX8:CGC8)</f>
        <v>0</v>
      </c>
      <c r="CGE8" s="68">
        <f t="shared" ref="CGE8:CGE21" si="674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5">SUM(CGF8:CGK8)</f>
        <v>979</v>
      </c>
      <c r="CGM8" s="68">
        <f t="shared" ref="CGM8:CGM21" si="676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7">SUM(CGN8:CGS8)</f>
        <v>913</v>
      </c>
      <c r="CGU8" s="68">
        <f t="shared" ref="CGU8:CGU21" si="678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9">SUM(CGV8:CHA8)</f>
        <v>1255</v>
      </c>
      <c r="CHC8" s="68">
        <f t="shared" ref="CHC8:CHC21" si="680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81">SUM(CHD8:CHI8)</f>
        <v>0</v>
      </c>
      <c r="CHK8" s="68">
        <f t="shared" ref="CHK8:CHK21" si="682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3">SUM(CHL8:CHQ8)</f>
        <v>1313</v>
      </c>
      <c r="CHS8" s="68">
        <f t="shared" ref="CHS8:CHS21" si="684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5">SUM(CHT8:CHY8)</f>
        <v>0</v>
      </c>
      <c r="CIA8" s="68">
        <f t="shared" ref="CIA8:CIA21" si="686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7">SUM(CIB8:CIG8)</f>
        <v>2331</v>
      </c>
      <c r="CII8" s="68">
        <f t="shared" ref="CII8:CII21" si="688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9">SUM(CIJ8:CIO8)</f>
        <v>1349</v>
      </c>
      <c r="CIQ8" s="68">
        <f t="shared" ref="CIQ8:CIQ21" si="690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91">SUM(CIR8:CIW8)</f>
        <v>233</v>
      </c>
      <c r="CIY8" s="68">
        <f t="shared" ref="CIY8:CIY21" si="692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3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4">SUM(CJH8:CJM8)</f>
        <v>0</v>
      </c>
      <c r="CJO8" s="68">
        <f t="shared" ref="CJO8:CJO21" si="695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6">SUM(CJP8:CJU8)</f>
        <v>964</v>
      </c>
      <c r="CJW8" s="68">
        <f t="shared" ref="CJW8:CJW21" si="697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8">SUM(CJX8:CKC8)</f>
        <v>126</v>
      </c>
      <c r="CKE8" s="68">
        <f t="shared" ref="CKE8:CKE21" si="699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700">SUM(CKF8:CKK8)</f>
        <v>2180</v>
      </c>
      <c r="CKM8" s="68">
        <f t="shared" ref="CKM8:CKM21" si="701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2">SUM(CKN8:CKS8)</f>
        <v>0</v>
      </c>
      <c r="CKU8" s="68">
        <f t="shared" ref="CKU8:CKU21" si="703">CKT8/$CKU$5</f>
        <v>0</v>
      </c>
      <c r="CKV8" s="48"/>
      <c r="CKW8" s="49"/>
      <c r="CKX8" s="49"/>
      <c r="CKY8" s="49"/>
      <c r="CKZ8" s="49"/>
      <c r="CLA8" s="49"/>
      <c r="CLB8" s="67">
        <f t="shared" ref="CLB8:CLB21" si="704">SUM(CKV8:CLA8)</f>
        <v>0</v>
      </c>
      <c r="CLC8" s="68">
        <f t="shared" ref="CLC8:CLC21" si="705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6">SUM(CLD8:CLI8)</f>
        <v>1299</v>
      </c>
      <c r="CLK8" s="68">
        <f t="shared" ref="CLK8:CLK21" si="707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8">SUM(CLL8:CLQ8)</f>
        <v>961</v>
      </c>
      <c r="CLS8" s="68">
        <f t="shared" ref="CLS8:CLS21" si="709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10">SUM(CLT8:CLY8)</f>
        <v>1012</v>
      </c>
      <c r="CMA8" s="68">
        <f t="shared" ref="CMA8:CMA21" si="711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2">SUM(CMB8:CMG8)</f>
        <v>0</v>
      </c>
      <c r="CMI8" s="68">
        <f t="shared" ref="CMI8:CMI21" si="713">CMH8/$CMI$5</f>
        <v>0</v>
      </c>
      <c r="CMJ8" s="48"/>
      <c r="CMK8" s="49"/>
      <c r="CML8" s="49"/>
      <c r="CMM8" s="49"/>
      <c r="CMN8" s="49"/>
      <c r="CMO8" s="49"/>
      <c r="CMP8" s="67">
        <f t="shared" ref="CMP8:CMP21" si="714">SUM(CMJ8:CMO8)</f>
        <v>0</v>
      </c>
      <c r="CMQ8" s="68">
        <f t="shared" ref="CMQ8:CMQ21" si="715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6">SUM(CMR8:CMW8)</f>
        <v>931</v>
      </c>
      <c r="CMY8" s="68">
        <f t="shared" ref="CMY8:CMY21" si="717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8">SUM(CMZ8:CNE8)</f>
        <v>968</v>
      </c>
      <c r="CNG8" s="68">
        <f t="shared" ref="CNG8:CNG21" si="719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20">SUM(CNH8:CNM8)</f>
        <v>1009</v>
      </c>
      <c r="CNO8" s="68">
        <f t="shared" ref="CNO8:CNO21" si="721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2">SUM(CNP8:CNU8)</f>
        <v>1005</v>
      </c>
      <c r="CNW8" s="68">
        <f t="shared" ref="CNW8:CNW21" si="723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4">SUM(CNX8:COC8)</f>
        <v>0</v>
      </c>
      <c r="COE8" s="68">
        <f t="shared" ref="COE8:COE21" si="725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6">SUM(COF8:COK8)</f>
        <v>462</v>
      </c>
      <c r="COM8" s="68">
        <f t="shared" ref="COM8:COM21" si="727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8">SUM(CON8:COS8)</f>
        <v>562</v>
      </c>
      <c r="COU8" s="68">
        <f t="shared" ref="COU8:COU21" si="729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30">SUM(COV8:CPA8)</f>
        <v>0</v>
      </c>
      <c r="CPC8" s="68">
        <f t="shared" ref="CPC8:CPC21" si="731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2">SUM(CPD8:CPI8)</f>
        <v>672</v>
      </c>
      <c r="CPK8" s="68">
        <f t="shared" ref="CPK8:CPK21" si="733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4">SUM(CPL8:CPQ8)</f>
        <v>998</v>
      </c>
      <c r="CPS8" s="68">
        <f t="shared" ref="CPS8:CPS21" si="735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6">SUM(CPT8:CPY8)</f>
        <v>0</v>
      </c>
      <c r="CQA8" s="68">
        <f t="shared" ref="CQA8:CQA21" si="737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8">SUM(CQB8:CQG8)</f>
        <v>1012</v>
      </c>
      <c r="CQI8" s="68">
        <f t="shared" ref="CQI8:CQI21" si="739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40">SUM(CQJ8:CQO8)</f>
        <v>0</v>
      </c>
      <c r="CQQ8" s="68">
        <f t="shared" ref="CQQ8:CQQ21" si="741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2">SUM(CQR8:CQW8)</f>
        <v>660</v>
      </c>
      <c r="CQY8" s="68">
        <f t="shared" ref="CQY8:CQY21" si="743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4">SUM(CQZ8:CRE8)</f>
        <v>683</v>
      </c>
      <c r="CRG8" s="68">
        <f t="shared" ref="CRG8:CRG21" si="745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6">SUM(CRH8:CRM8)</f>
        <v>0</v>
      </c>
      <c r="CRO8" s="68">
        <f t="shared" ref="CRO8:CRO21" si="747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8">SUM(CRP8:CRU8)</f>
        <v>0</v>
      </c>
      <c r="CRW8" s="68">
        <f t="shared" ref="CRW8:CRW21" si="749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50">SUM(CRX8:CSC8)</f>
        <v>712</v>
      </c>
      <c r="CSE8" s="68">
        <f t="shared" ref="CSE8:CSE21" si="751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2">SUM(CSF8:CSK8)</f>
        <v>0</v>
      </c>
      <c r="CSM8" s="68">
        <f t="shared" ref="CSM8:CSM21" si="753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4">SUM(CSN8:CSS8)</f>
        <v>997</v>
      </c>
      <c r="CSU8" s="68">
        <f t="shared" ref="CSU8:CSU21" si="755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6">SUM(CSV8:CTA8)</f>
        <v>0</v>
      </c>
      <c r="CTC8" s="68">
        <f t="shared" ref="CTC8:CTC21" si="757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8">SUM(CTD8:CTI8)</f>
        <v>668</v>
      </c>
      <c r="CTK8" s="68">
        <f t="shared" ref="CTK8:CTK21" si="759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60">SUM(CTL8:CTQ8)</f>
        <v>322</v>
      </c>
      <c r="CTS8" s="68">
        <f t="shared" ref="CTS8:CTS21" si="761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2">SUM(CTT8:CTY8)</f>
        <v>688</v>
      </c>
      <c r="CUA8" s="68">
        <f t="shared" ref="CUA8:CUA21" si="763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4">SUM(CUB8:CUG8)</f>
        <v>0</v>
      </c>
      <c r="CUI8" s="68">
        <f t="shared" ref="CUI8:CUI21" si="765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6">SUM(CUJ8:CUO8)</f>
        <v>685</v>
      </c>
      <c r="CUQ8" s="68">
        <f t="shared" ref="CUQ8:CUQ21" si="767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8">SUM(CUR8:CUW8)</f>
        <v>0</v>
      </c>
      <c r="CUY8" s="68">
        <f t="shared" ref="CUY8:CUY21" si="769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70">SUM(CUZ8:CVE8)</f>
        <v>672</v>
      </c>
      <c r="CVG8" s="68">
        <f t="shared" ref="CVG8:CVG21" si="771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2">SUM(CVH8:CVM8)</f>
        <v>678</v>
      </c>
      <c r="CVO8" s="68">
        <f t="shared" ref="CVO8:CVO21" si="773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4">SUM(CVP8:CVU8)</f>
        <v>0</v>
      </c>
      <c r="CVW8" s="68">
        <f t="shared" ref="CVW8:CVW21" si="775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6">SUM(CVX8:CWC8)</f>
        <v>672</v>
      </c>
      <c r="CWE8" s="68">
        <f t="shared" ref="CWE8:CWE21" si="777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8">SUM(CWF8:CWK8)</f>
        <v>671</v>
      </c>
      <c r="CWM8" s="68">
        <f t="shared" ref="CWM8:CWM21" si="779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80">SUM(CWN8:CWS8)</f>
        <v>690</v>
      </c>
      <c r="CWU8" s="68">
        <f t="shared" ref="CWU8:CWU21" si="781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2">SUM(CWV8:CXA8)</f>
        <v>821</v>
      </c>
      <c r="CXC8" s="43">
        <f t="shared" ref="CXC8:CXC21" si="783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4">SUM(CXD8:CXI8)</f>
        <v>0</v>
      </c>
      <c r="CXK8" s="43">
        <f t="shared" ref="CXK8:CXK21" si="785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6">SUM(CXL8:CXQ8)</f>
        <v>682</v>
      </c>
      <c r="CXS8" s="43">
        <f t="shared" ref="CXS8:CXS21" si="787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8">SUM(CXT8:CXY8)</f>
        <v>1348</v>
      </c>
      <c r="CYA8" s="43">
        <f t="shared" ref="CYA8:CYA21" si="789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90">SUM(CYB8:CYG8)</f>
        <v>657</v>
      </c>
      <c r="CYI8" s="43">
        <f t="shared" ref="CYI8:CYI21" si="791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2">SUM(CYJ8:CYO8)</f>
        <v>0</v>
      </c>
      <c r="CYQ8" s="43">
        <f t="shared" ref="CYQ8:CYQ21" si="793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4">SUM(CYR8:CYW8)</f>
        <v>679</v>
      </c>
      <c r="CYY8" s="43">
        <f t="shared" ref="CYY8:CYY21" si="795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6">SUM(CYZ8:CZE8)</f>
        <v>689</v>
      </c>
      <c r="CZG8" s="43">
        <f t="shared" ref="CZG8:CZG21" si="797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8">SUM(CZH8:CZM8)</f>
        <v>0</v>
      </c>
      <c r="CZO8" s="43">
        <f t="shared" ref="CZO8:CZO21" si="799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800">SUM(CZP8:CZU8)</f>
        <v>1033</v>
      </c>
      <c r="CZW8" s="43">
        <f t="shared" ref="CZW8:CZW21" si="801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2">SUM(CZX8:DAC8)</f>
        <v>0</v>
      </c>
      <c r="DAE8" s="68">
        <f t="shared" ref="DAE8:DAE21" si="803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4">SUM(DAF8:DAK8)</f>
        <v>688</v>
      </c>
      <c r="DAM8" s="68">
        <f t="shared" ref="DAM8:DAM21" si="805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6">SUM(DAN8:DAS8)</f>
        <v>0</v>
      </c>
      <c r="DAU8" s="68">
        <f t="shared" ref="DAU8:DAU21" si="807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8">SUM(DAV8:DBA8)</f>
        <v>693</v>
      </c>
      <c r="DBC8" s="68">
        <f t="shared" ref="DBC8:DBC21" si="809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10">SUM(DBD8:DBI8)</f>
        <v>686</v>
      </c>
      <c r="DBK8" s="68">
        <f t="shared" ref="DBK8:DBK21" si="811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2">SUM(DBL8:DBQ8)</f>
        <v>0</v>
      </c>
      <c r="DBS8" s="68">
        <f t="shared" ref="DBS8:DBS21" si="813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4">SUM(DBT8:DBY8)</f>
        <v>680</v>
      </c>
      <c r="DCA8" s="68">
        <f t="shared" ref="DCA8:DCA21" si="815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6">SUM(DCB8:DCG8)</f>
        <v>0</v>
      </c>
      <c r="DCI8" s="68">
        <f t="shared" ref="DCI8:DCI21" si="817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8">SUM(DCJ8:DCO8)</f>
        <v>1372</v>
      </c>
      <c r="DCQ8" s="68">
        <f t="shared" ref="DCQ8:DCQ21" si="819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20">SUM(DCR8:DCW8)</f>
        <v>0</v>
      </c>
      <c r="DCY8" s="68">
        <f t="shared" ref="DCY8:DCY21" si="821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2">SUM(DCZ8:DDE8)</f>
        <v>788</v>
      </c>
      <c r="DDG8" s="68">
        <f t="shared" ref="DDG8:DDG21" si="823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4">SUM(DDH8:DDM8)</f>
        <v>677</v>
      </c>
      <c r="DDO8" s="43">
        <f t="shared" ref="DDO8:DDO21" si="825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6">SUM(DDP8:DDU8)</f>
        <v>0</v>
      </c>
      <c r="DDW8" s="43">
        <f t="shared" ref="DDW8:DDW21" si="827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8">SUM(DDX8:DEC8)</f>
        <v>682</v>
      </c>
      <c r="DEE8" s="43">
        <f t="shared" ref="DEE8:DEE21" si="829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30">SUM(DEF8:DEK8)</f>
        <v>0</v>
      </c>
      <c r="DEM8" s="43">
        <f t="shared" ref="DEM8:DEM21" si="831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2">SUM(DEN8:DES8)</f>
        <v>675</v>
      </c>
      <c r="DEU8" s="43">
        <f t="shared" ref="DEU8:DEU21" si="833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4">SUM(DEV8:DFA8)</f>
        <v>0</v>
      </c>
      <c r="DFC8" s="43">
        <f t="shared" ref="DFC8:DFC21" si="835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6">SUM(DFD8:DFI8)</f>
        <v>0</v>
      </c>
      <c r="DFK8" s="43">
        <f t="shared" ref="DFK8:DFK21" si="837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8">SUM(DFL8:DFQ8)</f>
        <v>679</v>
      </c>
      <c r="DFS8" s="68">
        <f t="shared" ref="DFS8:DFS21" si="839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40">SUM(DFT8:DFY8)</f>
        <v>689</v>
      </c>
      <c r="DGA8" s="43">
        <f t="shared" ref="DGA8:DGA21" si="841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2">SUM(DGB8:DGG8)</f>
        <v>0</v>
      </c>
      <c r="DGI8" s="43">
        <f t="shared" ref="DGI8:DGI21" si="843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4">SUM(DGJ8:DGO8)</f>
        <v>0</v>
      </c>
      <c r="DGQ8" s="68">
        <f t="shared" ref="DGQ8:DGQ21" si="845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6">SUM(DGR8:DGW8)</f>
        <v>0</v>
      </c>
      <c r="DGY8" s="68">
        <f t="shared" ref="DGY8:DGY21" si="847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8">SUM(DGZ8:DHE8)</f>
        <v>680</v>
      </c>
      <c r="DHG8" s="68">
        <f t="shared" ref="DHG8:DHG21" si="849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50">SUM(DHH8:DHM8)</f>
        <v>0</v>
      </c>
      <c r="DHO8" s="68">
        <f t="shared" ref="DHO8:DHO21" si="851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2">SUM(DHP8:DHU8)</f>
        <v>352</v>
      </c>
      <c r="DHW8" s="68">
        <f t="shared" ref="DHW8:DHW21" si="853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4">SUM(DHX8:DIC8)</f>
        <v>371</v>
      </c>
      <c r="DIE8" s="68">
        <f t="shared" ref="DIE8:DIE21" si="855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6">SUM(DIF8:DIK8)</f>
        <v>0</v>
      </c>
      <c r="DIM8" s="68">
        <f t="shared" ref="DIM8:DIM21" si="857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8">SUM(DIN8:DIS8)</f>
        <v>666</v>
      </c>
      <c r="DIU8" s="68">
        <f t="shared" ref="DIU8:DIU21" si="859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60">SUM(DIV8:DJA8)</f>
        <v>0</v>
      </c>
      <c r="DJC8" s="68">
        <f t="shared" ref="DJC8:DJC21" si="861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2">SUM(DJD8:DJI8)</f>
        <v>0</v>
      </c>
      <c r="DJK8" s="68">
        <f t="shared" ref="DJK8:DJK21" si="863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4">SUM(DJL8:DJQ8)</f>
        <v>706</v>
      </c>
      <c r="DJS8" s="68">
        <f t="shared" ref="DJS8:DJS21" si="865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6">SUM(DJT8:DJY8)</f>
        <v>0</v>
      </c>
      <c r="DKA8" s="68">
        <f t="shared" ref="DKA8:DKA21" si="867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8">SUM(DKB8:DKG8)</f>
        <v>0</v>
      </c>
      <c r="DKI8" s="68">
        <f t="shared" ref="DKI8:DKI21" si="869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70">SUM(DKJ8:DKO8)</f>
        <v>318</v>
      </c>
      <c r="DKQ8" s="68">
        <f t="shared" ref="DKQ8:DKQ21" si="871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2">SUM(DKR8:DKW8)</f>
        <v>338</v>
      </c>
      <c r="DKY8" s="68">
        <f t="shared" ref="DKY8:DKY21" si="873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4">SUM(DKZ8:DLE8)</f>
        <v>322</v>
      </c>
      <c r="DLG8" s="68">
        <f t="shared" ref="DLG8:DLG21" si="875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6">SUM(DLH8:DLM8)</f>
        <v>316</v>
      </c>
      <c r="DLO8" s="68">
        <f t="shared" ref="DLO8:DLO21" si="877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8">SUM(DLP8:DLU8)</f>
        <v>0</v>
      </c>
      <c r="DLW8" s="68">
        <f t="shared" ref="DLW8:DLW21" si="879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80">SUM(DLX8:DMC8)</f>
        <v>397</v>
      </c>
      <c r="DME8" s="68">
        <f t="shared" ref="DME8:DME21" si="881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2">SUM(DMF8:DMK8)</f>
        <v>0</v>
      </c>
      <c r="DMM8" s="68">
        <f t="shared" ref="DMM8:DMM21" si="883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4">SUM(DMN8:DMS8)</f>
        <v>314</v>
      </c>
      <c r="DMU8" s="68">
        <f t="shared" ref="DMU8:DMU21" si="885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6">SUM(DMV8:DNA8)</f>
        <v>339</v>
      </c>
      <c r="DNC8" s="68">
        <f t="shared" ref="DNC8:DNC21" si="887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8">SUM(DND8:DNI8)</f>
        <v>0</v>
      </c>
      <c r="DNK8" s="68">
        <f t="shared" ref="DNK8:DNK21" si="889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90">SUM(DNL8:DNQ8)</f>
        <v>0</v>
      </c>
      <c r="DNS8" s="68">
        <f t="shared" ref="DNS8:DNS21" si="891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2">SUM(DNT8:DNY8)</f>
        <v>201</v>
      </c>
      <c r="DOA8" s="68">
        <f t="shared" ref="DOA8:DOA21" si="893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4">SUM(DOB8:DOG8)</f>
        <v>0</v>
      </c>
      <c r="DOI8" s="68">
        <f t="shared" ref="DOI8:DOI21" si="895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6">SUM(DOJ8:DOO8)</f>
        <v>323</v>
      </c>
      <c r="DOQ8" s="68">
        <f t="shared" ref="DOQ8:DOQ21" si="897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8">SUM(DOR8:DOW8)</f>
        <v>0</v>
      </c>
      <c r="DOY8" s="68">
        <f t="shared" ref="DOY8:DOY21" si="899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900">SUM(DOZ8:DPE8)</f>
        <v>378</v>
      </c>
      <c r="DPG8" s="68">
        <f t="shared" ref="DPG8:DPG21" si="901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2">SUM(DPH8:DPM8)</f>
        <v>325</v>
      </c>
      <c r="DPO8" s="68">
        <f t="shared" ref="DPO8:DPO21" si="903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4">SUM(DPP8:DPU8)</f>
        <v>0</v>
      </c>
      <c r="DPW8" s="492">
        <f t="shared" ref="DPW8:DPW21" si="905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6">SUM(DPX8:DQC8)</f>
        <v>339</v>
      </c>
      <c r="DQE8" s="492">
        <f t="shared" ref="DQE8:DQE21" si="907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8">SUM(DQF8:DQK8)</f>
        <v>282</v>
      </c>
      <c r="DQM8" s="492">
        <f t="shared" ref="DQM8:DQM21" si="909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10">SUM(DQN8:DQS8)</f>
        <v>0</v>
      </c>
      <c r="DQU8" s="68">
        <f t="shared" ref="DQU8:DQU21" si="911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2">SUM(DQV8:DRA8)</f>
        <v>322</v>
      </c>
      <c r="DRC8" s="492">
        <f t="shared" ref="DRC8:DRC21" si="913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4">SUM(DRD8:DRI8)</f>
        <v>199</v>
      </c>
      <c r="DRK8" s="492">
        <f t="shared" ref="DRK8:DRK21" si="915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6">SUM(DRL8:DRQ8)</f>
        <v>522</v>
      </c>
      <c r="DRS8" s="68">
        <f t="shared" ref="DRS8:DRS21" si="917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8">SUM(DRT8:DRY8)</f>
        <v>0</v>
      </c>
      <c r="DSA8" s="68">
        <f t="shared" ref="DSA8:DSA21" si="919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20">SUM(DSB8:DSG8)</f>
        <v>0</v>
      </c>
      <c r="DSI8" s="68">
        <f t="shared" ref="DSI8:DSI21" si="921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2">SUM(DSJ8:DSO8)</f>
        <v>330</v>
      </c>
      <c r="DSQ8" s="68">
        <f t="shared" ref="DSQ8:DSQ21" si="923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4">SUM(DSR8:DSW8)</f>
        <v>331</v>
      </c>
      <c r="DSY8" s="68">
        <f t="shared" ref="DSY8:DSY21" si="925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6">SUM(DSZ8:DTE8)</f>
        <v>334</v>
      </c>
      <c r="DTG8" s="68">
        <f t="shared" ref="DTG8:DTG21" si="927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8">SUM(DTH8:DTM8)</f>
        <v>0</v>
      </c>
      <c r="DTO8" s="68">
        <f t="shared" ref="DTO8:DTO21" si="929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30">SUM(DTP8:DTU8)</f>
        <v>331</v>
      </c>
      <c r="DTW8" s="68">
        <f t="shared" ref="DTW8:DTW21" si="931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2">SUM(DTX8:DUC8)</f>
        <v>358</v>
      </c>
      <c r="DUE8" s="68">
        <f t="shared" ref="DUE8:DUE21" si="933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4">SUM(DUF8:DUK8)</f>
        <v>0</v>
      </c>
      <c r="DUM8" s="68">
        <f t="shared" ref="DUM8:DUM20" si="935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6">SUM(DUN8:DUS8)</f>
        <v>373</v>
      </c>
      <c r="DUU8" s="184">
        <f t="shared" ref="DUU8:DUU20" si="937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8">SUM(DUV8:DVA8)</f>
        <v>0</v>
      </c>
      <c r="DVC8" s="68">
        <f t="shared" ref="DVC8:DVC20" si="939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40">SUM(DVD8:DVI8)</f>
        <v>333</v>
      </c>
      <c r="DVK8" s="68">
        <f t="shared" ref="DVK8:DVK21" si="941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2">SUM(DVL8:DVQ8)</f>
        <v>200</v>
      </c>
      <c r="DVS8" s="68">
        <f t="shared" ref="DVS8:DVS21" si="943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4">SUM(DVT8:DVY8)</f>
        <v>485</v>
      </c>
      <c r="DWA8" s="68">
        <f t="shared" ref="DWA8:DWA21" si="945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6">SUM(DWB8:DWG8)</f>
        <v>0</v>
      </c>
      <c r="DWI8" s="68">
        <f t="shared" ref="DWI8:DWI21" si="947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8">SUM(DWJ8:DWO8)</f>
        <v>390</v>
      </c>
      <c r="DWQ8" s="68">
        <f t="shared" ref="DWQ8:DWQ21" si="949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50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51">SUM(DWZ8:DXE8)</f>
        <v>0</v>
      </c>
      <c r="DXG8" s="68">
        <f t="shared" ref="DXG8:DXG21" si="952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3">SUM(DXH8:DXM8)</f>
        <v>400</v>
      </c>
      <c r="DXO8" s="68">
        <f t="shared" ref="DXO8:DXO21" si="954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5">SUM(DXP8:DXU8)</f>
        <v>0</v>
      </c>
      <c r="DXW8" s="68">
        <f t="shared" ref="DXW8:DXW21" si="956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7">SUM(DXX8:DYC8)</f>
        <v>41</v>
      </c>
      <c r="DYE8" s="68">
        <f t="shared" ref="DYE8:DYE21" si="958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9">SUM(DYF8:DYK8)</f>
        <v>0</v>
      </c>
      <c r="DYM8" s="68">
        <f t="shared" ref="DYM8:DYM21" si="960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61">SUM(DYN8:DYS8)</f>
        <v>367</v>
      </c>
      <c r="DYU8" s="68">
        <f t="shared" ref="DYU8:DYU21" si="962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3">SUM(DYV8:DZA8)</f>
        <v>348</v>
      </c>
      <c r="DZC8" s="68">
        <f t="shared" ref="DZC8:DZC21" si="964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5">SUM(DZD8:DZI8)</f>
        <v>2</v>
      </c>
      <c r="DZK8" s="68">
        <f t="shared" ref="DZK8:DZK21" si="966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7">SUM(DZL8:DZQ8)</f>
        <v>237</v>
      </c>
      <c r="DZS8" s="68">
        <f t="shared" ref="DZS8:DZS21" si="968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9">SUM(DZT8:DZY8)</f>
        <v>173</v>
      </c>
      <c r="EAA8" s="68">
        <f t="shared" ref="EAA8:EAA21" si="970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71">SUM(EAB8:EAG8)</f>
        <v>443</v>
      </c>
      <c r="EAI8" s="68">
        <f t="shared" ref="EAI8:EAI21" si="972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3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4">SUM(EAR8:EAW8)</f>
        <v>254</v>
      </c>
      <c r="EAY8" s="68">
        <f t="shared" ref="EAY8:EAY21" si="975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6">SUM(EAZ8:EBE8)</f>
        <v>0</v>
      </c>
      <c r="EBG8" s="68">
        <f t="shared" ref="EBG8:EBG21" si="977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8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9">SUM(EBP8:EBU8)</f>
        <v>0</v>
      </c>
      <c r="EBW8" s="68">
        <f t="shared" ref="EBW8:EBW21" si="980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81">SUM(EBX8:ECC8)</f>
        <v>55</v>
      </c>
      <c r="ECE8" s="68">
        <f t="shared" ref="ECE8:ECE21" si="982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3">SUM(ECF8:ECK8)</f>
        <v>325</v>
      </c>
      <c r="ECM8" s="68">
        <f t="shared" ref="ECM8:ECM21" si="984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5">SUM(ECN8:ECS8)</f>
        <v>0</v>
      </c>
      <c r="ECU8" s="68">
        <f t="shared" ref="ECU8:ECU21" si="986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7">SUM(ECV8:EDA8)</f>
        <v>266</v>
      </c>
      <c r="EDC8" s="68">
        <f t="shared" ref="EDC8:EDC21" si="988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9">SUM(EDD8:EDI8)</f>
        <v>322</v>
      </c>
      <c r="EDK8" s="68">
        <f t="shared" ref="EDK8:EDK21" si="990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91">SUM(EDL8:EDQ8)</f>
        <v>0</v>
      </c>
      <c r="EDS8" s="184">
        <f t="shared" ref="EDS8:EDS21" si="992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3">SUM(EDT8:EDY8)</f>
        <v>0</v>
      </c>
      <c r="EEA8" s="184">
        <f t="shared" ref="EEA8:EEA21" si="994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5">SUM(EEB8:EEG8)</f>
        <v>343</v>
      </c>
      <c r="EEI8" s="68">
        <f t="shared" ref="EEI8:EEI21" si="996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7">SUM(EEJ8:EEO8)</f>
        <v>0</v>
      </c>
      <c r="EEQ8" s="68">
        <f t="shared" ref="EEQ8:EEQ21" si="998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9">SUM(EER8:EEW8)</f>
        <v>345</v>
      </c>
      <c r="EEY8" s="68">
        <f t="shared" ref="EEY8:EEY21" si="1000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1001">SUM(EEZ8:EFE8)</f>
        <v>0</v>
      </c>
      <c r="EFG8" s="68">
        <f t="shared" ref="EFG8:EFG21" si="1002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3">SUM(EFH8:EFM8)</f>
        <v>539</v>
      </c>
      <c r="EFO8" s="68">
        <f t="shared" ref="EFO8:EFO21" si="1004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5">SUM(EFP8:EFU8)</f>
        <v>0</v>
      </c>
      <c r="EFW8" s="68">
        <f t="shared" ref="EFW8:EFW21" si="1006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7">SUM(EFX8:EGC8)</f>
        <v>0</v>
      </c>
      <c r="EGE8" s="68">
        <f t="shared" ref="EGE8:EGE21" si="1008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9">SUM(EGF8:EGK8)</f>
        <v>0</v>
      </c>
      <c r="EGM8" s="68">
        <f t="shared" ref="EGM8:EGM21" si="1010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11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2">SUM(EGV8:EHA8)</f>
        <v>0</v>
      </c>
      <c r="EHC8" s="68">
        <f t="shared" ref="EHC8:EHC21" si="1013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4">SUM(EHD8:EHI8)</f>
        <v>124</v>
      </c>
      <c r="EHK8" s="68">
        <f t="shared" ref="EHK8:EHK21" si="1015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6">SUM(EHL8:EHQ8)</f>
        <v>41</v>
      </c>
      <c r="EHS8" s="68">
        <f t="shared" ref="EHS8:EHS21" si="1017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8">SUM(EHT8:EHY8)</f>
        <v>348</v>
      </c>
      <c r="EIA8" s="68">
        <f t="shared" ref="EIA8:EIA21" si="1019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20">SUM(EIB8:EIG8)</f>
        <v>61</v>
      </c>
      <c r="EII8" s="68">
        <f t="shared" ref="EII8:EII21" si="1021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2">SUM(EIJ8:EIO8)</f>
        <v>0</v>
      </c>
      <c r="EIQ8" s="68">
        <f t="shared" ref="EIQ8:EIQ21" si="1023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4">SUM(EIR8:EIW8)</f>
        <v>340</v>
      </c>
      <c r="EIY8" s="68">
        <f t="shared" ref="EIY8:EIY21" si="1025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6">SUM(EIZ8:EJE8)</f>
        <v>0</v>
      </c>
      <c r="EJG8" s="68">
        <f t="shared" ref="EJG8:EJG21" si="1027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8">SUM(EJH8:EJM8)</f>
        <v>100</v>
      </c>
      <c r="EJO8" s="68">
        <f t="shared" ref="EJO8:EJO21" si="1029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30">SUM(EJP8:EJU8)</f>
        <v>385</v>
      </c>
      <c r="EJW8" s="68">
        <f t="shared" ref="EJW8:EJW21" si="1031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2">SUM(EJX8:EKC8)</f>
        <v>0</v>
      </c>
      <c r="EKE8" s="68">
        <f t="shared" ref="EKE8:EKE21" si="1033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4">SUM(EKF8:EKK8)</f>
        <v>70</v>
      </c>
      <c r="EKM8" s="68">
        <f t="shared" ref="EKM8:EKM21" si="1035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6">SUM(EKN8:EKS8)</f>
        <v>0</v>
      </c>
      <c r="EKU8" s="184">
        <f t="shared" ref="EKU8:EKU21" si="1037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8">SUM(EKW8:ELB8)</f>
        <v>111</v>
      </c>
      <c r="ELD8" s="211">
        <f t="shared" ref="ELD8:ELD21" si="1039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40">SUM(ELE8:ELJ8)</f>
        <v>350</v>
      </c>
      <c r="ELL8" s="211">
        <f t="shared" ref="ELL8:ELL21" si="1041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2">SUM(ELM8:ELR8)</f>
        <v>0</v>
      </c>
      <c r="ELT8" s="211">
        <f t="shared" ref="ELT8:ELT21" si="1043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4">SUM(ELU8:ELZ8)</f>
        <v>0</v>
      </c>
      <c r="EMB8" s="211">
        <f t="shared" ref="EMB8:EMB21" si="1045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6">SUM(EMC8:EMH8)</f>
        <v>321</v>
      </c>
      <c r="EMJ8" s="211">
        <f t="shared" ref="EMJ8:EMJ21" si="1047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8">SUM(EMK8:EMP8)</f>
        <v>0</v>
      </c>
      <c r="EMR8" s="211">
        <f t="shared" ref="EMR8:EMR21" si="1049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50">SUM(EMS8:EMX8)</f>
        <v>345</v>
      </c>
      <c r="EMZ8" s="211">
        <f t="shared" ref="EMZ8:EMZ21" si="1051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2">SUM(ENA8:ENF8)</f>
        <v>0</v>
      </c>
      <c r="ENH8" s="211">
        <f t="shared" ref="ENH8:ENH21" si="1053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4">SUM(ENI8:ENN8)</f>
        <v>355</v>
      </c>
      <c r="ENP8" s="211">
        <f t="shared" ref="ENP8:ENP21" si="1055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6">SUM(ENQ8:ENV8)</f>
        <v>0</v>
      </c>
      <c r="ENX8" s="211">
        <f t="shared" ref="ENX8:ENX21" si="1057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8">SUM(ENY8:EOD8)</f>
        <v>0</v>
      </c>
      <c r="EOF8" s="211">
        <f t="shared" ref="EOF8:EOF21" si="1059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60">SUM(EOG8:EOL8)</f>
        <v>0</v>
      </c>
      <c r="EON8" s="211">
        <f t="shared" ref="EON8:EON21" si="1061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2">SUM(EOO8:EOT8)</f>
        <v>0</v>
      </c>
      <c r="EOV8" s="211">
        <f t="shared" ref="EOV8:EOV21" si="1063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4">SUM(EOW8:EPB8)</f>
        <v>506</v>
      </c>
      <c r="EPD8" s="211">
        <f t="shared" ref="EPD8:EPD21" si="1065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6">SUM(EPE8:EPJ8)</f>
        <v>0</v>
      </c>
      <c r="EPL8" s="211">
        <f t="shared" ref="EPL8:EPL21" si="1067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8">SUM(EPM8:EPR8)</f>
        <v>0</v>
      </c>
      <c r="EPT8" s="211">
        <f t="shared" ref="EPT8:EPT21" si="1069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70">SUM(EPU8:EPZ8)</f>
        <v>0</v>
      </c>
      <c r="EQB8" s="211">
        <f t="shared" ref="EQB8:EQB21" si="1071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2">SUM(EQC8:EQH8)</f>
        <v>83</v>
      </c>
      <c r="EQJ8" s="211">
        <f t="shared" ref="EQJ8:EQJ21" si="1073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4">SUM(EQK8:EQP8)</f>
        <v>344</v>
      </c>
      <c r="EQR8" s="211">
        <f t="shared" ref="EQR8:EQR21" si="1075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6">SUM(EQS8:EQX8)</f>
        <v>0</v>
      </c>
      <c r="EQZ8" s="211">
        <f t="shared" ref="EQZ8:EQZ21" si="1077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8">SUM(ERA8:ERF8)</f>
        <v>0</v>
      </c>
      <c r="ERH8" s="211">
        <f t="shared" ref="ERH8:ERH21" si="1079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80">SUM(ERI8:ERN8)</f>
        <v>0</v>
      </c>
      <c r="ERP8" s="211">
        <f t="shared" ref="ERP8:ERP21" si="1081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2">SUM(ERQ8:ERV8)</f>
        <v>96</v>
      </c>
      <c r="ERX8" s="211">
        <f t="shared" ref="ERX8:ERX21" si="1083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4">SUM(ERY8:ESD8)</f>
        <v>354</v>
      </c>
      <c r="ESF8" s="211">
        <f t="shared" ref="ESF8:ESF21" si="1085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6">SUM(ESG8:ESL8)</f>
        <v>0</v>
      </c>
      <c r="ESN8" s="211">
        <f t="shared" ref="ESN8:ESN21" si="1087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8">SUM(ESO8:EST8)</f>
        <v>0</v>
      </c>
      <c r="ESV8" s="211">
        <f t="shared" ref="ESV8:ESV21" si="1089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90">SUM(ESW8:ETB8)</f>
        <v>0</v>
      </c>
      <c r="ETD8" s="211">
        <f t="shared" ref="ETD8:ETD21" si="1091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2">SUM(ETE8:ETJ8)</f>
        <v>340</v>
      </c>
      <c r="ETL8" s="211">
        <f t="shared" ref="ETL8:ETL21" si="1093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4">SUM(ETM8:ETR8)</f>
        <v>122</v>
      </c>
      <c r="ETT8" s="211">
        <f t="shared" ref="ETT8:ETT21" si="1095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6">SUM(ETU8:ETZ8)</f>
        <v>0</v>
      </c>
      <c r="EUB8" s="211">
        <f t="shared" ref="EUB8:EUB21" si="1097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8">SUM(EUC8:EUH8)</f>
        <v>367</v>
      </c>
      <c r="EUJ8" s="211">
        <f t="shared" ref="EUJ8:EUJ21" si="1099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100">SUM(EUK8:EUP8)</f>
        <v>0</v>
      </c>
      <c r="EUR8" s="211">
        <f t="shared" ref="EUR8:EUR21" si="1101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2">SUM(EUS8:EUX8)</f>
        <v>358</v>
      </c>
      <c r="EUZ8" s="211">
        <f t="shared" ref="EUZ8:EUZ21" si="1103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4">SUM(EVA8:EVF8)</f>
        <v>0</v>
      </c>
      <c r="EVH8" s="211">
        <f t="shared" ref="EVH8:EVH21" si="1105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6">SUM(EVI8:EVN8)</f>
        <v>0</v>
      </c>
      <c r="EVP8" s="211">
        <f t="shared" ref="EVP8:EVP21" si="1107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8">SUM(EVQ8:EVV8)</f>
        <v>345</v>
      </c>
      <c r="EVX8" s="211">
        <f t="shared" ref="EVX8:EVX21" si="1109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10">SUM(EVY8:EWD8)</f>
        <v>0</v>
      </c>
      <c r="EWF8" s="211">
        <f t="shared" ref="EWF8:EWF21" si="1111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2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3">SUM(EWO8:EWT8)</f>
        <v>0</v>
      </c>
      <c r="EWV8" s="211">
        <f t="shared" ref="EWV8:EWV21" si="1114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5">SUM(EWW8:EXB8)</f>
        <v>196</v>
      </c>
      <c r="EXD8" s="211">
        <f t="shared" ref="EXD8:EXD21" si="1116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7">SUM(EXE8:EXJ8)</f>
        <v>0</v>
      </c>
      <c r="EXL8" s="211">
        <f t="shared" ref="EXL8:EXL21" si="1118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9">SUM(EXM8:EXR8)</f>
        <v>351</v>
      </c>
      <c r="EXT8" s="211">
        <f t="shared" ref="EXT8:EXT21" si="1120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21">SUM(EXU8:EXZ8)</f>
        <v>0</v>
      </c>
      <c r="EYB8" s="211">
        <f t="shared" ref="EYB8:EYB21" si="1122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3">SUM(EYC8:EYH8)</f>
        <v>0</v>
      </c>
      <c r="EYJ8" s="211">
        <f t="shared" ref="EYJ8:EYJ21" si="1124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5">SUM(EYK8:EYP8)</f>
        <v>80</v>
      </c>
      <c r="EYR8" s="211">
        <f t="shared" ref="EYR8:EYR21" si="1126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7">SUM(EYS8:EYX8)</f>
        <v>0</v>
      </c>
      <c r="EYZ8" s="873">
        <f t="shared" ref="EYZ8:EYZ21" si="1128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9">SUM(EZA8:EZF8)</f>
        <v>216</v>
      </c>
      <c r="EZH8" s="873">
        <f t="shared" ref="EZH8:EZH21" si="1130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1" si="1131">SUM(EZI8:EZN8)</f>
        <v>0</v>
      </c>
      <c r="EZP8" s="873">
        <f t="shared" ref="EZP8:EZP21" si="1132">EZO8/$EZP$5</f>
        <v>0</v>
      </c>
      <c r="EZQ8" s="458">
        <v>193</v>
      </c>
      <c r="EZR8" s="83"/>
      <c r="EZS8" s="83">
        <v>0</v>
      </c>
      <c r="EZT8" s="83"/>
      <c r="EZU8" s="83"/>
      <c r="EZV8" s="83">
        <v>0</v>
      </c>
      <c r="EZW8" s="872">
        <f t="shared" ref="EZW8:EZW21" si="1133">SUM(EZQ8:EZV8)</f>
        <v>193</v>
      </c>
      <c r="EZX8" s="873">
        <f t="shared" ref="EZX8:EZX21" si="1134">EZW8/$EZX$5</f>
        <v>32.166666666666664</v>
      </c>
      <c r="EZY8" s="195">
        <v>0</v>
      </c>
      <c r="EZZ8" s="49">
        <v>0</v>
      </c>
      <c r="FAA8" s="49"/>
      <c r="FAB8" s="49"/>
      <c r="FAC8" s="49"/>
      <c r="FAD8" s="49"/>
      <c r="FAE8" s="872">
        <f t="shared" ref="FAE8:FAE21" si="1135">SUM(EZY8:FAD8)</f>
        <v>0</v>
      </c>
      <c r="FAF8" s="873">
        <f t="shared" ref="FAF8:FAF21" si="1136">FAE8/$FAF$5</f>
        <v>0</v>
      </c>
    </row>
    <row r="9" spans="1:4088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1356</v>
      </c>
      <c r="G9" s="24"/>
      <c r="H9" s="24"/>
      <c r="I9" s="360"/>
      <c r="J9" s="360">
        <f>SUMIF(SUMPK!$B:$B,$B:$B,SUMPK!$O:$O)</f>
        <v>0</v>
      </c>
      <c r="K9" s="24">
        <f t="shared" si="188"/>
        <v>0</v>
      </c>
      <c r="L9" s="24">
        <f t="shared" si="189"/>
        <v>1356</v>
      </c>
      <c r="M9" s="24">
        <f t="shared" si="190"/>
        <v>1356</v>
      </c>
      <c r="N9" s="15">
        <v>74</v>
      </c>
      <c r="O9" s="276">
        <f t="shared" si="191"/>
        <v>18.324324324324323</v>
      </c>
      <c r="P9" s="712">
        <v>215.16666666666666</v>
      </c>
      <c r="Q9" s="276">
        <f t="shared" si="192"/>
        <v>37.812548412083657</v>
      </c>
      <c r="R9" s="277">
        <f t="shared" si="193"/>
        <v>123.07692307692308</v>
      </c>
      <c r="S9" s="222">
        <v>3200</v>
      </c>
      <c r="T9" s="276">
        <f t="shared" si="194"/>
        <v>11.0175</v>
      </c>
      <c r="U9" s="303"/>
      <c r="V9" s="302">
        <f t="shared" si="195"/>
        <v>11.0175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3"/>
        <v>0</v>
      </c>
      <c r="CDC9" s="68">
        <f t="shared" si="654"/>
        <v>0</v>
      </c>
      <c r="CDD9" s="48"/>
      <c r="CDE9" s="49"/>
      <c r="CDF9" s="49"/>
      <c r="CDG9" s="49"/>
      <c r="CDH9" s="49"/>
      <c r="CDI9" s="49">
        <v>500</v>
      </c>
      <c r="CDJ9" s="67">
        <f t="shared" si="655"/>
        <v>500</v>
      </c>
      <c r="CDK9" s="68">
        <f t="shared" si="656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7"/>
        <v>594</v>
      </c>
      <c r="CDS9" s="68">
        <f t="shared" si="658"/>
        <v>99</v>
      </c>
      <c r="CDT9" s="48"/>
      <c r="CDU9" s="49"/>
      <c r="CDV9" s="49"/>
      <c r="CDW9" s="49"/>
      <c r="CDX9" s="49"/>
      <c r="CDY9" s="49"/>
      <c r="CDZ9" s="67">
        <f t="shared" si="659"/>
        <v>0</v>
      </c>
      <c r="CEA9" s="68">
        <f t="shared" si="660"/>
        <v>0</v>
      </c>
      <c r="CEB9" s="48">
        <v>990</v>
      </c>
      <c r="CEC9" s="49"/>
      <c r="CED9" s="49"/>
      <c r="CEE9" s="49"/>
      <c r="CEF9" s="49"/>
      <c r="CEG9" s="49"/>
      <c r="CEH9" s="67">
        <f t="shared" si="661"/>
        <v>990</v>
      </c>
      <c r="CEI9" s="68">
        <f t="shared" si="662"/>
        <v>165</v>
      </c>
      <c r="CEJ9" s="48"/>
      <c r="CEK9" s="49"/>
      <c r="CEL9" s="49"/>
      <c r="CEM9" s="49">
        <v>441</v>
      </c>
      <c r="CEN9" s="49"/>
      <c r="CEO9" s="49"/>
      <c r="CEP9" s="67">
        <f t="shared" si="663"/>
        <v>441</v>
      </c>
      <c r="CEQ9" s="68">
        <f t="shared" si="664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5"/>
        <v>1886</v>
      </c>
      <c r="CEY9" s="68">
        <f t="shared" si="666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7"/>
        <v>1291</v>
      </c>
      <c r="CFG9" s="68">
        <f t="shared" si="668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9"/>
        <v>1648</v>
      </c>
      <c r="CFO9" s="68">
        <f t="shared" si="670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71"/>
        <v>2194</v>
      </c>
      <c r="CFW9" s="68">
        <f t="shared" si="672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3"/>
        <v>597</v>
      </c>
      <c r="CGE9" s="68">
        <f t="shared" si="674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5"/>
        <v>2223</v>
      </c>
      <c r="CGM9" s="68">
        <f t="shared" si="676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7"/>
        <v>220</v>
      </c>
      <c r="CGU9" s="68">
        <f t="shared" si="678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9"/>
        <v>880</v>
      </c>
      <c r="CHC9" s="68">
        <f t="shared" si="680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81"/>
        <v>995</v>
      </c>
      <c r="CHK9" s="68">
        <f t="shared" si="682"/>
        <v>165.83333333333334</v>
      </c>
      <c r="CHL9" s="63"/>
      <c r="CHM9" s="64"/>
      <c r="CHN9" s="64"/>
      <c r="CHO9" s="64"/>
      <c r="CHP9" s="64"/>
      <c r="CHQ9" s="64"/>
      <c r="CHR9" s="67">
        <f t="shared" si="683"/>
        <v>0</v>
      </c>
      <c r="CHS9" s="68">
        <f t="shared" si="684"/>
        <v>0</v>
      </c>
      <c r="CHT9" s="48"/>
      <c r="CHU9" s="49"/>
      <c r="CHV9" s="49"/>
      <c r="CHW9" s="49"/>
      <c r="CHX9" s="49"/>
      <c r="CHY9" s="49"/>
      <c r="CHZ9" s="67">
        <f t="shared" si="685"/>
        <v>0</v>
      </c>
      <c r="CIA9" s="68">
        <f t="shared" si="686"/>
        <v>0</v>
      </c>
      <c r="CIB9" s="63">
        <v>960</v>
      </c>
      <c r="CIC9" s="64"/>
      <c r="CID9" s="64"/>
      <c r="CIE9" s="64"/>
      <c r="CIF9" s="64"/>
      <c r="CIG9" s="64"/>
      <c r="CIH9" s="67">
        <f t="shared" si="687"/>
        <v>960</v>
      </c>
      <c r="CII9" s="68">
        <f t="shared" si="688"/>
        <v>160</v>
      </c>
      <c r="CIJ9" s="63"/>
      <c r="CIK9" s="64"/>
      <c r="CIL9" s="64"/>
      <c r="CIM9" s="64"/>
      <c r="CIN9" s="64"/>
      <c r="CIO9" s="64">
        <v>800</v>
      </c>
      <c r="CIP9" s="67">
        <f t="shared" si="689"/>
        <v>800</v>
      </c>
      <c r="CIQ9" s="68">
        <f t="shared" si="690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91"/>
        <v>440</v>
      </c>
      <c r="CIY9" s="68">
        <f t="shared" si="692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3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4"/>
        <v>796</v>
      </c>
      <c r="CJO9" s="68">
        <f t="shared" si="695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6"/>
        <v>417</v>
      </c>
      <c r="CJW9" s="68">
        <f t="shared" si="697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8"/>
        <v>546</v>
      </c>
      <c r="CKE9" s="68">
        <f t="shared" si="699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700"/>
        <v>1432</v>
      </c>
      <c r="CKM9" s="68">
        <f t="shared" si="701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2"/>
        <v>441</v>
      </c>
      <c r="CKU9" s="68">
        <f t="shared" si="703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4"/>
        <v>906</v>
      </c>
      <c r="CLC9" s="68">
        <f t="shared" si="705"/>
        <v>151</v>
      </c>
      <c r="CLD9" s="48"/>
      <c r="CLE9" s="49"/>
      <c r="CLF9" s="49"/>
      <c r="CLG9" s="49"/>
      <c r="CLH9" s="49"/>
      <c r="CLI9" s="49"/>
      <c r="CLJ9" s="67">
        <f t="shared" si="706"/>
        <v>0</v>
      </c>
      <c r="CLK9" s="68">
        <f t="shared" si="707"/>
        <v>0</v>
      </c>
      <c r="CLL9" s="48"/>
      <c r="CLM9" s="49">
        <v>439</v>
      </c>
      <c r="CLN9" s="49"/>
      <c r="CLO9" s="49"/>
      <c r="CLP9" s="49"/>
      <c r="CLQ9" s="49"/>
      <c r="CLR9" s="67">
        <f t="shared" si="708"/>
        <v>439</v>
      </c>
      <c r="CLS9" s="68">
        <f t="shared" si="709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10"/>
        <v>1100</v>
      </c>
      <c r="CMA9" s="68">
        <f t="shared" si="711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2"/>
        <v>853</v>
      </c>
      <c r="CMI9" s="68">
        <f t="shared" si="713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4"/>
        <v>151</v>
      </c>
      <c r="CMQ9" s="68">
        <f t="shared" si="715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6"/>
        <v>1218</v>
      </c>
      <c r="CMY9" s="68">
        <f t="shared" si="717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8"/>
        <v>716</v>
      </c>
      <c r="CNG9" s="68">
        <f t="shared" si="719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20"/>
        <v>220</v>
      </c>
      <c r="CNO9" s="68">
        <f t="shared" si="721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2"/>
        <v>777</v>
      </c>
      <c r="CNW9" s="68">
        <f t="shared" si="723"/>
        <v>129.5</v>
      </c>
      <c r="CNX9" s="48"/>
      <c r="CNY9" s="49"/>
      <c r="CNZ9" s="49"/>
      <c r="COA9" s="49"/>
      <c r="COB9" s="49"/>
      <c r="COC9" s="49"/>
      <c r="COD9" s="67">
        <f t="shared" si="724"/>
        <v>0</v>
      </c>
      <c r="COE9" s="68">
        <f t="shared" si="725"/>
        <v>0</v>
      </c>
      <c r="COF9" s="48"/>
      <c r="COG9" s="49"/>
      <c r="COH9" s="49"/>
      <c r="COI9" s="49"/>
      <c r="COJ9" s="49"/>
      <c r="COK9" s="49">
        <v>774</v>
      </c>
      <c r="COL9" s="67">
        <f t="shared" si="726"/>
        <v>774</v>
      </c>
      <c r="COM9" s="68">
        <f t="shared" si="727"/>
        <v>129</v>
      </c>
      <c r="CON9" s="48"/>
      <c r="COO9" s="49"/>
      <c r="COP9" s="49"/>
      <c r="COQ9" s="49"/>
      <c r="COR9" s="49"/>
      <c r="COS9" s="49">
        <v>648</v>
      </c>
      <c r="COT9" s="67">
        <f t="shared" si="728"/>
        <v>648</v>
      </c>
      <c r="COU9" s="68">
        <f t="shared" si="729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30"/>
        <v>880</v>
      </c>
      <c r="CPC9" s="68">
        <f t="shared" si="731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2"/>
        <v>1698</v>
      </c>
      <c r="CPK9" s="68">
        <f t="shared" si="733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4"/>
        <v>537</v>
      </c>
      <c r="CPS9" s="68">
        <f t="shared" si="735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6"/>
        <v>874</v>
      </c>
      <c r="CQA9" s="68">
        <f t="shared" si="737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8"/>
        <v>0</v>
      </c>
      <c r="CQI9" s="68">
        <f t="shared" si="739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40"/>
        <v>220</v>
      </c>
      <c r="CQQ9" s="68">
        <f t="shared" si="741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2"/>
        <v>381</v>
      </c>
      <c r="CQY9" s="68">
        <f t="shared" si="743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4"/>
        <v>655</v>
      </c>
      <c r="CRG9" s="68">
        <f t="shared" si="745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6"/>
        <v>636</v>
      </c>
      <c r="CRO9" s="68">
        <f t="shared" si="747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8"/>
        <v>581</v>
      </c>
      <c r="CRW9" s="68">
        <f t="shared" si="749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50"/>
        <v>1308</v>
      </c>
      <c r="CSE9" s="68">
        <f t="shared" si="751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2"/>
        <v>0</v>
      </c>
      <c r="CSM9" s="68">
        <f t="shared" si="753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4"/>
        <v>1405</v>
      </c>
      <c r="CSU9" s="68">
        <f t="shared" si="755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6"/>
        <v>1250</v>
      </c>
      <c r="CTC9" s="68">
        <f t="shared" si="757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8"/>
        <v>1009</v>
      </c>
      <c r="CTK9" s="68">
        <f t="shared" si="759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60"/>
        <v>845</v>
      </c>
      <c r="CTS9" s="68">
        <f t="shared" si="761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2"/>
        <v>1299</v>
      </c>
      <c r="CUA9" s="68">
        <f t="shared" si="763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4"/>
        <v>1198</v>
      </c>
      <c r="CUI9" s="68">
        <f t="shared" si="765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6"/>
        <v>1699</v>
      </c>
      <c r="CUQ9" s="68">
        <f t="shared" si="767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8"/>
        <v>799</v>
      </c>
      <c r="CUY9" s="68">
        <f t="shared" si="769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70"/>
        <v>897</v>
      </c>
      <c r="CVG9" s="68">
        <f t="shared" si="771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2"/>
        <v>1000</v>
      </c>
      <c r="CVO9" s="68">
        <f t="shared" si="773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4"/>
        <v>1468</v>
      </c>
      <c r="CVW9" s="68">
        <f t="shared" si="775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6"/>
        <v>800</v>
      </c>
      <c r="CWE9" s="68">
        <f t="shared" si="777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8"/>
        <v>438</v>
      </c>
      <c r="CWM9" s="68">
        <f t="shared" si="779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80"/>
        <v>660</v>
      </c>
      <c r="CWU9" s="68">
        <f t="shared" si="781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2"/>
        <v>397</v>
      </c>
      <c r="CXC9" s="43">
        <f t="shared" si="783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4"/>
        <v>1255</v>
      </c>
      <c r="CXK9" s="43">
        <f t="shared" si="785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6"/>
        <v>1171</v>
      </c>
      <c r="CXS9" s="43">
        <f t="shared" si="787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8"/>
        <v>0</v>
      </c>
      <c r="CYA9" s="43">
        <f t="shared" si="789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90"/>
        <v>1168</v>
      </c>
      <c r="CYI9" s="43">
        <f t="shared" si="791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2"/>
        <v>783</v>
      </c>
      <c r="CYQ9" s="43">
        <f t="shared" si="793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4"/>
        <v>963</v>
      </c>
      <c r="CYY9" s="43">
        <f t="shared" si="795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6"/>
        <v>476</v>
      </c>
      <c r="CZG9" s="43">
        <f t="shared" si="797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8"/>
        <v>1546</v>
      </c>
      <c r="CZO9" s="43">
        <f t="shared" si="799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800"/>
        <v>1399</v>
      </c>
      <c r="CZW9" s="43">
        <f t="shared" si="801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2"/>
        <v>1701</v>
      </c>
      <c r="DAE9" s="68">
        <f t="shared" si="803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4"/>
        <v>1672</v>
      </c>
      <c r="DAM9" s="68">
        <f t="shared" si="805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6"/>
        <v>439</v>
      </c>
      <c r="DAU9" s="68">
        <f t="shared" si="807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8"/>
        <v>986</v>
      </c>
      <c r="DBC9" s="68">
        <f t="shared" si="809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10"/>
        <v>2083</v>
      </c>
      <c r="DBK9" s="68">
        <f t="shared" si="811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2"/>
        <v>0</v>
      </c>
      <c r="DBS9" s="68">
        <f t="shared" si="813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4"/>
        <v>1074</v>
      </c>
      <c r="DCA9" s="68">
        <f t="shared" si="815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6"/>
        <v>1570</v>
      </c>
      <c r="DCI9" s="68">
        <f t="shared" si="817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8"/>
        <v>1551</v>
      </c>
      <c r="DCQ9" s="68">
        <f t="shared" si="819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20"/>
        <v>1385</v>
      </c>
      <c r="DCY9" s="68">
        <f t="shared" si="821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2"/>
        <v>0</v>
      </c>
      <c r="DDG9" s="68">
        <f t="shared" si="823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4"/>
        <v>864</v>
      </c>
      <c r="DDO9" s="43">
        <f t="shared" si="825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6"/>
        <v>1304</v>
      </c>
      <c r="DDW9" s="43">
        <f t="shared" si="827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8"/>
        <v>1722</v>
      </c>
      <c r="DEE9" s="43">
        <f t="shared" si="829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30"/>
        <v>0</v>
      </c>
      <c r="DEM9" s="43">
        <f t="shared" si="831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2"/>
        <v>1140</v>
      </c>
      <c r="DEU9" s="43">
        <f t="shared" si="833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4"/>
        <v>200</v>
      </c>
      <c r="DFC9" s="43">
        <f t="shared" si="835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6"/>
        <v>1318</v>
      </c>
      <c r="DFK9" s="43">
        <f t="shared" si="837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8"/>
        <v>0</v>
      </c>
      <c r="DFS9" s="68">
        <f t="shared" si="839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40"/>
        <v>294</v>
      </c>
      <c r="DGA9" s="43">
        <f t="shared" si="841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2"/>
        <v>660</v>
      </c>
      <c r="DGI9" s="43">
        <f t="shared" si="843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4"/>
        <v>0</v>
      </c>
      <c r="DGQ9" s="68">
        <f t="shared" si="845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6"/>
        <v>829</v>
      </c>
      <c r="DGY9" s="68">
        <f t="shared" si="847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8"/>
        <v>330</v>
      </c>
      <c r="DHG9" s="68">
        <f t="shared" si="849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50"/>
        <v>330</v>
      </c>
      <c r="DHO9" s="68">
        <f t="shared" si="851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2"/>
        <v>200</v>
      </c>
      <c r="DHW9" s="68">
        <f t="shared" si="853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4"/>
        <v>200</v>
      </c>
      <c r="DIE9" s="68">
        <f t="shared" si="855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6"/>
        <v>781</v>
      </c>
      <c r="DIM9" s="68">
        <f t="shared" si="857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8"/>
        <v>640</v>
      </c>
      <c r="DIU9" s="68">
        <f t="shared" si="859"/>
        <v>106.66666666666667</v>
      </c>
      <c r="DIV9" s="48">
        <f>SUMIF(SUMPK!$B:$B,$B:$B,SUMPK!$O:$O)</f>
        <v>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60"/>
        <v>801</v>
      </c>
      <c r="DJC9" s="68">
        <f t="shared" si="861"/>
        <v>133.5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2"/>
        <v>110</v>
      </c>
      <c r="DJK9" s="68">
        <f t="shared" si="863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4"/>
        <v>480</v>
      </c>
      <c r="DJS9" s="68">
        <f t="shared" si="865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6"/>
        <v>330</v>
      </c>
      <c r="DKA9" s="68">
        <f t="shared" si="867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8"/>
        <v>220</v>
      </c>
      <c r="DKI9" s="68">
        <f t="shared" si="869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70"/>
        <v>0</v>
      </c>
      <c r="DKQ9" s="68">
        <f t="shared" si="871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2"/>
        <v>979</v>
      </c>
      <c r="DKY9" s="68">
        <f t="shared" si="873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4"/>
        <v>0</v>
      </c>
      <c r="DLG9" s="68">
        <f t="shared" si="875"/>
        <v>0</v>
      </c>
      <c r="DLH9" s="48"/>
      <c r="DLI9" s="49">
        <v>660</v>
      </c>
      <c r="DLJ9" s="49">
        <v>0</v>
      </c>
      <c r="DLK9" s="49">
        <f>SUMIF(SUMPK!$B:$B,$B:$B,SUMPK!$O:$O)</f>
        <v>0</v>
      </c>
      <c r="DLL9" s="49"/>
      <c r="DLM9" s="49">
        <v>0</v>
      </c>
      <c r="DLN9" s="64">
        <f t="shared" si="876"/>
        <v>660</v>
      </c>
      <c r="DLO9" s="68">
        <f t="shared" si="877"/>
        <v>110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8"/>
        <v>802</v>
      </c>
      <c r="DLW9" s="68">
        <f t="shared" si="879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80"/>
        <v>1148</v>
      </c>
      <c r="DME9" s="68">
        <f t="shared" si="881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2"/>
        <v>320</v>
      </c>
      <c r="DMM9" s="68">
        <f t="shared" si="883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4"/>
        <v>316</v>
      </c>
      <c r="DMU9" s="68">
        <f t="shared" si="885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6"/>
        <v>752</v>
      </c>
      <c r="DNC9" s="68">
        <f t="shared" si="887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8"/>
        <v>424</v>
      </c>
      <c r="DNK9" s="68">
        <f t="shared" si="889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90"/>
        <v>0</v>
      </c>
      <c r="DNS9" s="68">
        <f t="shared" si="891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2"/>
        <v>0</v>
      </c>
      <c r="DOA9" s="68">
        <f t="shared" si="893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4"/>
        <v>0</v>
      </c>
      <c r="DOI9" s="68">
        <f t="shared" si="895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6"/>
        <v>320</v>
      </c>
      <c r="DOQ9" s="68">
        <f t="shared" si="897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8"/>
        <v>0</v>
      </c>
      <c r="DOY9" s="68">
        <f t="shared" si="899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900"/>
        <v>220</v>
      </c>
      <c r="DPG9" s="68">
        <f t="shared" si="901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2"/>
        <v>240</v>
      </c>
      <c r="DPO9" s="68">
        <f t="shared" si="903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4"/>
        <v>220</v>
      </c>
      <c r="DPW9" s="492">
        <f t="shared" si="905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6"/>
        <v>0</v>
      </c>
      <c r="DQE9" s="492">
        <f t="shared" si="907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8"/>
        <v>220</v>
      </c>
      <c r="DQM9" s="492">
        <f t="shared" si="909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10"/>
        <v>331</v>
      </c>
      <c r="DQU9" s="68">
        <f t="shared" si="911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2"/>
        <v>300</v>
      </c>
      <c r="DRC9" s="492">
        <f t="shared" si="913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4"/>
        <v>287</v>
      </c>
      <c r="DRK9" s="492">
        <f t="shared" si="915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6"/>
        <v>0</v>
      </c>
      <c r="DRS9" s="68">
        <f t="shared" si="917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8"/>
        <v>0</v>
      </c>
      <c r="DSA9" s="68">
        <f t="shared" si="919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20"/>
        <v>218</v>
      </c>
      <c r="DSI9" s="68">
        <f t="shared" si="921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2"/>
        <v>0</v>
      </c>
      <c r="DSQ9" s="68">
        <f t="shared" si="923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4"/>
        <v>0</v>
      </c>
      <c r="DSY9" s="68">
        <f t="shared" si="925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6"/>
        <v>0</v>
      </c>
      <c r="DTG9" s="68">
        <f t="shared" si="927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8"/>
        <v>0</v>
      </c>
      <c r="DTO9" s="68">
        <f t="shared" si="929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30"/>
        <v>320</v>
      </c>
      <c r="DTW9" s="68">
        <f t="shared" si="931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2"/>
        <v>0</v>
      </c>
      <c r="DUE9" s="68">
        <f t="shared" si="933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4"/>
        <v>500</v>
      </c>
      <c r="DUM9" s="68">
        <f t="shared" si="935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6"/>
        <v>318</v>
      </c>
      <c r="DUU9" s="184">
        <f t="shared" si="937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8"/>
        <v>0</v>
      </c>
      <c r="DVC9" s="68">
        <f t="shared" si="939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40"/>
        <v>0</v>
      </c>
      <c r="DVK9" s="68">
        <f t="shared" si="941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2"/>
        <v>0</v>
      </c>
      <c r="DVS9" s="68">
        <f t="shared" si="943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4"/>
        <v>0</v>
      </c>
      <c r="DWA9" s="68">
        <f t="shared" si="945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6"/>
        <v>0</v>
      </c>
      <c r="DWI9" s="68">
        <f t="shared" si="947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8"/>
        <v>0</v>
      </c>
      <c r="DWQ9" s="68">
        <f t="shared" si="949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50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51"/>
        <v>0</v>
      </c>
      <c r="DXG9" s="68">
        <f t="shared" si="952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3"/>
        <v>820</v>
      </c>
      <c r="DXO9" s="68">
        <f t="shared" si="954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5"/>
        <v>200</v>
      </c>
      <c r="DXW9" s="68">
        <f t="shared" si="956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7"/>
        <v>0</v>
      </c>
      <c r="DYE9" s="68">
        <f t="shared" si="958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9"/>
        <v>0</v>
      </c>
      <c r="DYM9" s="68">
        <f t="shared" si="960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61"/>
        <v>0</v>
      </c>
      <c r="DYU9" s="68">
        <f t="shared" si="962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3"/>
        <v>0</v>
      </c>
      <c r="DZC9" s="68">
        <f t="shared" si="964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0</v>
      </c>
      <c r="DZI9" s="49"/>
      <c r="DZJ9" s="64">
        <f t="shared" si="965"/>
        <v>0</v>
      </c>
      <c r="DZK9" s="68">
        <f t="shared" si="966"/>
        <v>0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7"/>
        <v>0</v>
      </c>
      <c r="DZS9" s="68">
        <f t="shared" si="968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9"/>
        <v>0</v>
      </c>
      <c r="EAA9" s="68">
        <f t="shared" si="970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71"/>
        <v>0</v>
      </c>
      <c r="EAI9" s="68">
        <f t="shared" si="972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3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4"/>
        <v>0</v>
      </c>
      <c r="EAY9" s="68">
        <f t="shared" si="975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6"/>
        <v>0</v>
      </c>
      <c r="EBG9" s="68">
        <f t="shared" si="977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8"/>
        <v>0</v>
      </c>
      <c r="EBO9" s="68">
        <f t="shared" ref="EBO9:EBO21" si="1137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9"/>
        <v>858</v>
      </c>
      <c r="EBW9" s="68">
        <f t="shared" si="980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81"/>
        <v>342</v>
      </c>
      <c r="ECE9" s="68">
        <f t="shared" si="982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3"/>
        <v>0</v>
      </c>
      <c r="ECM9" s="68">
        <f t="shared" si="984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5"/>
        <v>899</v>
      </c>
      <c r="ECU9" s="68">
        <f t="shared" si="986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7"/>
        <v>1411</v>
      </c>
      <c r="EDC9" s="68">
        <f t="shared" si="988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9"/>
        <v>720</v>
      </c>
      <c r="EDK9" s="68">
        <f t="shared" si="990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0</v>
      </c>
      <c r="EDP9" s="49"/>
      <c r="EDQ9" s="49">
        <v>658</v>
      </c>
      <c r="EDR9" s="64">
        <f t="shared" si="991"/>
        <v>1324</v>
      </c>
      <c r="EDS9" s="184">
        <f t="shared" si="992"/>
        <v>220.66666666666666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3"/>
        <v>219</v>
      </c>
      <c r="EEA9" s="184">
        <f t="shared" si="994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5"/>
        <v>1302</v>
      </c>
      <c r="EEI9" s="68">
        <f t="shared" si="996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7"/>
        <v>800</v>
      </c>
      <c r="EEQ9" s="68">
        <f t="shared" si="998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9"/>
        <v>1000</v>
      </c>
      <c r="EEY9" s="68">
        <f t="shared" si="1000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1001"/>
        <v>332</v>
      </c>
      <c r="EFG9" s="68">
        <f t="shared" si="1002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3"/>
        <v>1654</v>
      </c>
      <c r="EFO9" s="68">
        <f t="shared" si="1004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5"/>
        <v>200</v>
      </c>
      <c r="EFW9" s="68">
        <f t="shared" si="1006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7"/>
        <v>984</v>
      </c>
      <c r="EGE9" s="68">
        <f t="shared" si="1008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9"/>
        <v>0</v>
      </c>
      <c r="EGM9" s="68">
        <f t="shared" si="1010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11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2"/>
        <v>820</v>
      </c>
      <c r="EHC9" s="68">
        <f t="shared" si="1013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4"/>
        <v>584</v>
      </c>
      <c r="EHK9" s="68">
        <f t="shared" si="1015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6"/>
        <v>1569</v>
      </c>
      <c r="EHS9" s="68">
        <f t="shared" si="1017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8"/>
        <v>1091</v>
      </c>
      <c r="EIA9" s="68">
        <f t="shared" si="1019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20"/>
        <v>1324</v>
      </c>
      <c r="EII9" s="68">
        <f t="shared" si="1021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2"/>
        <v>1329</v>
      </c>
      <c r="EIQ9" s="68">
        <f t="shared" si="1023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4"/>
        <v>1253</v>
      </c>
      <c r="EIY9" s="68">
        <f t="shared" si="1025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6"/>
        <v>852</v>
      </c>
      <c r="EJG9" s="68">
        <f t="shared" si="1027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8"/>
        <v>759</v>
      </c>
      <c r="EJO9" s="68">
        <f t="shared" si="1029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30"/>
        <v>1379</v>
      </c>
      <c r="EJW9" s="68">
        <f t="shared" si="1031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2"/>
        <v>982</v>
      </c>
      <c r="EKE9" s="68">
        <f t="shared" si="1033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4"/>
        <v>1454</v>
      </c>
      <c r="EKM9" s="68">
        <f t="shared" si="1035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6"/>
        <v>1757</v>
      </c>
      <c r="EKU9" s="184">
        <f t="shared" si="1037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8"/>
        <v>1904</v>
      </c>
      <c r="ELD9" s="211">
        <f t="shared" si="1039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40"/>
        <v>736</v>
      </c>
      <c r="ELL9" s="211">
        <f t="shared" si="1041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2"/>
        <v>710</v>
      </c>
      <c r="ELT9" s="211">
        <f t="shared" si="1043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4"/>
        <v>303</v>
      </c>
      <c r="EMB9" s="211">
        <f t="shared" si="1045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6"/>
        <v>450</v>
      </c>
      <c r="EMJ9" s="211">
        <f t="shared" si="1047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8"/>
        <v>0</v>
      </c>
      <c r="EMR9" s="211">
        <f t="shared" si="1049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50"/>
        <v>441</v>
      </c>
      <c r="EMZ9" s="211">
        <f t="shared" si="1051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2"/>
        <v>503</v>
      </c>
      <c r="ENH9" s="211">
        <f t="shared" si="1053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4"/>
        <v>402</v>
      </c>
      <c r="ENP9" s="211">
        <f t="shared" si="1055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6"/>
        <v>1064</v>
      </c>
      <c r="ENX9" s="211">
        <f t="shared" si="1057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8"/>
        <v>1206</v>
      </c>
      <c r="EOF9" s="211">
        <f t="shared" si="1059"/>
        <v>201</v>
      </c>
      <c r="EOG9" s="195"/>
      <c r="EOH9" s="360">
        <f>SUMIF(SUMPK!$B:$B,$B:$B,SUMPK!$O:$O)</f>
        <v>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60"/>
        <v>1191</v>
      </c>
      <c r="EON9" s="211">
        <f t="shared" si="1061"/>
        <v>198.5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2"/>
        <v>1234</v>
      </c>
      <c r="EOV9" s="211">
        <f t="shared" si="1063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4"/>
        <v>993</v>
      </c>
      <c r="EPD9" s="211">
        <f t="shared" si="1065"/>
        <v>165.5</v>
      </c>
      <c r="EPE9" s="195">
        <v>0</v>
      </c>
      <c r="EPF9" s="49">
        <f>SUMIF(SUMPK!$B:$B,$B:$B,SUMPK!$O:$O)</f>
        <v>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6"/>
        <v>271</v>
      </c>
      <c r="EPL9" s="211">
        <f t="shared" si="1067"/>
        <v>45.166666666666664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8"/>
        <v>883</v>
      </c>
      <c r="EPT9" s="211">
        <f t="shared" si="1069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70"/>
        <v>0</v>
      </c>
      <c r="EQB9" s="211">
        <f t="shared" si="1071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2"/>
        <v>926</v>
      </c>
      <c r="EQJ9" s="211">
        <f t="shared" si="1073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4"/>
        <v>1104</v>
      </c>
      <c r="EQR9" s="211">
        <f t="shared" si="1075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6"/>
        <v>1192</v>
      </c>
      <c r="EQZ9" s="211">
        <f t="shared" si="1077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8"/>
        <v>440</v>
      </c>
      <c r="ERH9" s="211">
        <f t="shared" si="1079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80"/>
        <v>1359</v>
      </c>
      <c r="ERP9" s="211">
        <f t="shared" si="1081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2"/>
        <v>660</v>
      </c>
      <c r="ERX9" s="211">
        <f t="shared" si="1083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4"/>
        <v>417</v>
      </c>
      <c r="ESF9" s="211">
        <f t="shared" si="1085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6"/>
        <v>0</v>
      </c>
      <c r="ESN9" s="211">
        <f t="shared" si="1087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8"/>
        <v>827</v>
      </c>
      <c r="ESV9" s="211">
        <f t="shared" si="1089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90"/>
        <v>937</v>
      </c>
      <c r="ETD9" s="211">
        <f t="shared" si="1091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2"/>
        <v>650</v>
      </c>
      <c r="ETL9" s="211">
        <f t="shared" si="1093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4"/>
        <v>300</v>
      </c>
      <c r="ETT9" s="211">
        <f t="shared" si="1095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6"/>
        <v>1564</v>
      </c>
      <c r="EUB9" s="211">
        <f t="shared" si="1097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8"/>
        <v>884</v>
      </c>
      <c r="EUJ9" s="211">
        <f t="shared" si="1099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0</v>
      </c>
      <c r="EUO9" s="49">
        <v>0</v>
      </c>
      <c r="EUP9" s="49">
        <v>0</v>
      </c>
      <c r="EUQ9" s="808">
        <f t="shared" si="1100"/>
        <v>960</v>
      </c>
      <c r="EUR9" s="211">
        <f t="shared" si="1101"/>
        <v>160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2"/>
        <v>330</v>
      </c>
      <c r="EUZ9" s="211">
        <f t="shared" si="1103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4"/>
        <v>0</v>
      </c>
      <c r="EVH9" s="211">
        <f t="shared" si="1105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6"/>
        <v>0</v>
      </c>
      <c r="EVP9" s="211">
        <f t="shared" si="1107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8"/>
        <v>851</v>
      </c>
      <c r="EVX9" s="211">
        <f t="shared" si="1109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10"/>
        <v>1392</v>
      </c>
      <c r="EWF9" s="211">
        <f t="shared" si="1111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2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3"/>
        <v>1031</v>
      </c>
      <c r="EWV9" s="211">
        <f t="shared" si="1114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5"/>
        <v>789</v>
      </c>
      <c r="EXD9" s="211">
        <f t="shared" si="1116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7"/>
        <v>1099</v>
      </c>
      <c r="EXL9" s="211">
        <f t="shared" si="1118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9"/>
        <v>0</v>
      </c>
      <c r="EXT9" s="211">
        <f t="shared" si="1120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21"/>
        <v>0</v>
      </c>
      <c r="EYB9" s="211">
        <f t="shared" si="1122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3"/>
        <v>0</v>
      </c>
      <c r="EYJ9" s="211">
        <f t="shared" si="1124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5"/>
        <v>690</v>
      </c>
      <c r="EYR9" s="211">
        <f t="shared" si="1126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7"/>
        <v>325</v>
      </c>
      <c r="EYZ9" s="873">
        <f t="shared" si="1128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9"/>
        <v>1619</v>
      </c>
      <c r="EZH9" s="873">
        <f t="shared" si="1130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0</v>
      </c>
      <c r="EZN9" s="49">
        <v>0</v>
      </c>
      <c r="EZO9" s="872">
        <f t="shared" si="1131"/>
        <v>154</v>
      </c>
      <c r="EZP9" s="873">
        <f t="shared" si="1132"/>
        <v>25.666666666666668</v>
      </c>
      <c r="EZQ9" s="458">
        <v>0</v>
      </c>
      <c r="EZR9" s="83"/>
      <c r="EZS9" s="83">
        <v>444</v>
      </c>
      <c r="EZT9" s="83"/>
      <c r="EZU9" s="83"/>
      <c r="EZV9" s="83">
        <v>0</v>
      </c>
      <c r="EZW9" s="872">
        <f t="shared" si="1133"/>
        <v>444</v>
      </c>
      <c r="EZX9" s="873">
        <f t="shared" si="1134"/>
        <v>74</v>
      </c>
      <c r="EZY9" s="195">
        <v>0</v>
      </c>
      <c r="EZZ9" s="49">
        <v>440</v>
      </c>
      <c r="FAA9" s="49"/>
      <c r="FAB9" s="49"/>
      <c r="FAC9" s="49"/>
      <c r="FAD9" s="49"/>
      <c r="FAE9" s="872">
        <f t="shared" si="1135"/>
        <v>440</v>
      </c>
      <c r="FAF9" s="873">
        <f t="shared" si="1136"/>
        <v>73.333333333333329</v>
      </c>
    </row>
    <row r="10" spans="1:4088" s="8" customFormat="1" ht="15" customHeight="1" x14ac:dyDescent="0.2">
      <c r="A10" s="301">
        <v>4</v>
      </c>
      <c r="B10" s="21" t="s">
        <v>351</v>
      </c>
      <c r="C10" s="275" t="s">
        <v>352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8">E10+G10-I10</f>
        <v>0</v>
      </c>
      <c r="L10" s="24">
        <f t="shared" ref="L10:L11" si="1139">F10+H10-J10</f>
        <v>961</v>
      </c>
      <c r="M10" s="24">
        <f t="shared" ref="M10:M11" si="1140">K10+L10</f>
        <v>961</v>
      </c>
      <c r="N10" s="15">
        <v>0</v>
      </c>
      <c r="O10" s="276">
        <f t="shared" si="191"/>
        <v>0</v>
      </c>
      <c r="P10" s="712"/>
      <c r="Q10" s="276"/>
      <c r="R10" s="277"/>
      <c r="S10" s="222"/>
      <c r="T10" s="276"/>
      <c r="U10" s="303"/>
      <c r="V10" s="302">
        <f t="shared" ref="V10:V11" si="1141">IF(R10=0,0,(M10+U10)/R10)</f>
        <v>0</v>
      </c>
      <c r="W10" s="304">
        <f t="shared" ref="W10:W11" si="1142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2"/>
        <v>200</v>
      </c>
      <c r="EQJ10" s="211">
        <f t="shared" si="1073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4"/>
        <v>0</v>
      </c>
      <c r="EQR10" s="211">
        <f t="shared" si="1075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6"/>
        <v>0</v>
      </c>
      <c r="EQZ10" s="211">
        <f t="shared" si="1077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8"/>
        <v>0</v>
      </c>
      <c r="ERH10" s="211">
        <f t="shared" si="1079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80"/>
        <v>0</v>
      </c>
      <c r="ERP10" s="211">
        <f t="shared" si="1081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2"/>
        <v>0</v>
      </c>
      <c r="ERX10" s="211">
        <f t="shared" si="1083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4"/>
        <v>0</v>
      </c>
      <c r="ESF10" s="211">
        <f t="shared" si="1085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6"/>
        <v>0</v>
      </c>
      <c r="ESN10" s="211">
        <f t="shared" si="1087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8"/>
        <v>0</v>
      </c>
      <c r="ESV10" s="211">
        <f t="shared" si="1089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90"/>
        <v>0</v>
      </c>
      <c r="ETD10" s="211">
        <f t="shared" si="1091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2"/>
        <v>0</v>
      </c>
      <c r="ETL10" s="211">
        <f t="shared" si="1093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4"/>
        <v>0</v>
      </c>
      <c r="ETT10" s="211">
        <f t="shared" si="1095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6"/>
        <v>0</v>
      </c>
      <c r="EUB10" s="211">
        <f t="shared" si="1097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8"/>
        <v>0</v>
      </c>
      <c r="EUJ10" s="211">
        <f t="shared" si="1099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100"/>
        <v>0</v>
      </c>
      <c r="EUR10" s="211">
        <f t="shared" si="1101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2"/>
        <v>0</v>
      </c>
      <c r="EUZ10" s="211">
        <f t="shared" si="1103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4"/>
        <v>0</v>
      </c>
      <c r="EVH10" s="211">
        <f t="shared" si="1105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6"/>
        <v>0</v>
      </c>
      <c r="EVP10" s="211">
        <f t="shared" si="1107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8"/>
        <v>0</v>
      </c>
      <c r="EVX10" s="211">
        <f t="shared" si="1109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10"/>
        <v>0</v>
      </c>
      <c r="EWF10" s="211">
        <f t="shared" si="1111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2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3"/>
        <v>0</v>
      </c>
      <c r="EWV10" s="211">
        <f t="shared" si="1114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5"/>
        <v>240</v>
      </c>
      <c r="EXD10" s="211">
        <f t="shared" si="1116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7"/>
        <v>0</v>
      </c>
      <c r="EXL10" s="211">
        <f t="shared" si="1118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9"/>
        <v>159</v>
      </c>
      <c r="EXT10" s="211">
        <f t="shared" si="1120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1"/>
        <v>0</v>
      </c>
      <c r="EYB10" s="211">
        <f t="shared" si="1122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3"/>
        <v>0</v>
      </c>
      <c r="EYJ10" s="211">
        <f t="shared" si="1124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5"/>
        <v>0</v>
      </c>
      <c r="EYR10" s="211">
        <f t="shared" si="1126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7"/>
        <v>440</v>
      </c>
      <c r="EYZ10" s="873">
        <f t="shared" si="1128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9"/>
        <v>0</v>
      </c>
      <c r="EZH10" s="873">
        <f t="shared" si="1130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31"/>
        <v>0</v>
      </c>
      <c r="EZP10" s="873">
        <f t="shared" si="1132"/>
        <v>0</v>
      </c>
      <c r="EZQ10" s="458">
        <v>0</v>
      </c>
      <c r="EZR10" s="83"/>
      <c r="EZS10" s="83">
        <v>0</v>
      </c>
      <c r="EZT10" s="83"/>
      <c r="EZU10" s="83"/>
      <c r="EZV10" s="83">
        <v>0</v>
      </c>
      <c r="EZW10" s="872">
        <f t="shared" si="1133"/>
        <v>0</v>
      </c>
      <c r="EZX10" s="873">
        <f t="shared" si="1134"/>
        <v>0</v>
      </c>
      <c r="EZY10" s="195">
        <v>0</v>
      </c>
      <c r="EZZ10" s="49">
        <v>0</v>
      </c>
      <c r="FAA10" s="49"/>
      <c r="FAB10" s="49"/>
      <c r="FAC10" s="49"/>
      <c r="FAD10" s="49"/>
      <c r="FAE10" s="872">
        <f t="shared" si="1135"/>
        <v>0</v>
      </c>
      <c r="FAF10" s="873">
        <f t="shared" si="1136"/>
        <v>0</v>
      </c>
    </row>
    <row r="11" spans="1:4088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622</v>
      </c>
      <c r="G11" s="24"/>
      <c r="H11" s="24"/>
      <c r="I11" s="360"/>
      <c r="J11" s="360">
        <f>SUMIF(SUMPK!$B:$B,$B:$B,SUMPK!$O:$O)</f>
        <v>0</v>
      </c>
      <c r="K11" s="24">
        <f t="shared" si="1138"/>
        <v>0</v>
      </c>
      <c r="L11" s="24">
        <f t="shared" si="1139"/>
        <v>622</v>
      </c>
      <c r="M11" s="24">
        <f t="shared" si="1140"/>
        <v>622</v>
      </c>
      <c r="N11" s="15">
        <v>0</v>
      </c>
      <c r="O11" s="276">
        <f t="shared" si="191"/>
        <v>0</v>
      </c>
      <c r="P11" s="712">
        <v>161.83333333333334</v>
      </c>
      <c r="Q11" s="276">
        <f t="shared" si="192"/>
        <v>23.060762100926876</v>
      </c>
      <c r="R11" s="277">
        <f t="shared" si="193"/>
        <v>76.92307692307692</v>
      </c>
      <c r="S11" s="222">
        <v>2000</v>
      </c>
      <c r="T11" s="276">
        <f t="shared" si="194"/>
        <v>8.0860000000000003</v>
      </c>
      <c r="U11" s="303"/>
      <c r="V11" s="302">
        <f t="shared" si="1141"/>
        <v>8.0860000000000003</v>
      </c>
      <c r="W11" s="304">
        <f t="shared" si="1142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43">SUM(AD11:AI11)</f>
        <v>601</v>
      </c>
      <c r="AK11" s="43">
        <f t="shared" ref="AK11:AK21" si="1144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45">SUM(AL11:AQ11)</f>
        <v>798</v>
      </c>
      <c r="AS11" s="43">
        <f t="shared" ref="AS11:AS21" si="1146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7">SUM(AT11:AY11)</f>
        <v>1392</v>
      </c>
      <c r="BA11" s="43">
        <f t="shared" ref="BA11:BA21" si="1148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9">SUM(BB11:BG11)</f>
        <v>2735</v>
      </c>
      <c r="BI11" s="43">
        <f t="shared" ref="BI11:BI21" si="1150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51">SUM(BJ11:BO11)</f>
        <v>1302</v>
      </c>
      <c r="BQ11" s="43">
        <f t="shared" ref="BQ11:BQ21" si="1152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53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54">SUM(BZ11:CE11)</f>
        <v>1002</v>
      </c>
      <c r="CG11" s="43">
        <f t="shared" ref="CG11:CG21" si="1155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6">SUM(CH11:CM11)</f>
        <v>2690</v>
      </c>
      <c r="CO11" s="43">
        <f t="shared" ref="CO11:CO21" si="1157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8">SUM(CP11:CU11)</f>
        <v>1598</v>
      </c>
      <c r="CW11" s="43">
        <f t="shared" ref="CW11:CW21" si="1159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60">SUM(CX11:DC11)</f>
        <v>819</v>
      </c>
      <c r="DE11" s="43">
        <f t="shared" ref="DE11:DE21" si="1161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62">SUM(DF11:DK11)</f>
        <v>810</v>
      </c>
      <c r="DM11" s="43">
        <f t="shared" ref="DM11:DM21" si="1163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64">SUM(DN11:DS11)</f>
        <v>2244</v>
      </c>
      <c r="DU11" s="43">
        <f t="shared" ref="DU11:DU21" si="1165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6">SUM(DV11:EA11)</f>
        <v>1194</v>
      </c>
      <c r="EC11" s="43">
        <f t="shared" ref="EC11:EC21" si="1167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8">SUM(ED11:EI11)</f>
        <v>0</v>
      </c>
      <c r="EK11" s="43">
        <f t="shared" ref="EK11:EK21" si="1169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70">SUM(EL11:EQ11)</f>
        <v>817</v>
      </c>
      <c r="ES11" s="43">
        <f t="shared" ref="ES11:ES21" si="1171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72">SUM(ET11:EY11)</f>
        <v>1816</v>
      </c>
      <c r="FA11" s="43">
        <f t="shared" ref="FA11:FA21" si="1173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74">SUM(FB11:FG11)</f>
        <v>1529</v>
      </c>
      <c r="FI11" s="43">
        <f t="shared" ref="FI11:FI21" si="1175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6">SUM(FJ11:FO11)</f>
        <v>961</v>
      </c>
      <c r="FQ11" s="43">
        <f t="shared" ref="FQ11:FQ21" si="1177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8">SUM(FR11:FW11)</f>
        <v>1000</v>
      </c>
      <c r="FY11" s="43">
        <f t="shared" ref="FY11:FY21" si="1179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80">SUM(FZ11:GE11)</f>
        <v>2001</v>
      </c>
      <c r="GG11" s="43">
        <f t="shared" ref="GG11:GG21" si="1181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82">SUM(GH11:GM11)</f>
        <v>599</v>
      </c>
      <c r="GO11" s="43">
        <f t="shared" ref="GO11:GO21" si="1183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84">SUM(GP11:GU11)</f>
        <v>805</v>
      </c>
      <c r="GW11" s="43">
        <f t="shared" ref="GW11:GW21" si="1185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6">SUM(GX11:HC11)</f>
        <v>1599</v>
      </c>
      <c r="HE11" s="43">
        <f t="shared" ref="HE11:HE21" si="1187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8">SUM(HF11:HK11)</f>
        <v>603</v>
      </c>
      <c r="HM11" s="43">
        <f t="shared" ref="HM11:HM21" si="1189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90">SUM(HN11:HS11)</f>
        <v>1001</v>
      </c>
      <c r="HU11" s="43">
        <f t="shared" ref="HU11:HU21" si="1191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92">SUM(HV11:IA11)</f>
        <v>1180</v>
      </c>
      <c r="IC11" s="43">
        <f t="shared" ref="IC11:IC21" si="1193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94">SUM(ID11:II11)</f>
        <v>1356</v>
      </c>
      <c r="IK11" s="43">
        <f t="shared" ref="IK11:IK21" si="1195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6">SUM(IL11:IQ11)</f>
        <v>401</v>
      </c>
      <c r="IS11" s="68">
        <f t="shared" ref="IS11:IS21" si="1197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8">SUM(IT11:IY11)</f>
        <v>863</v>
      </c>
      <c r="JA11" s="68">
        <f t="shared" ref="JA11:JA21" si="1199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200">SUM(JB11:JG11)</f>
        <v>597</v>
      </c>
      <c r="JI11" s="68">
        <f t="shared" ref="JI11:JI21" si="1201">JH11/$IS$5</f>
        <v>99.5</v>
      </c>
      <c r="JJ11" s="48"/>
      <c r="JK11" s="49"/>
      <c r="JL11" s="49"/>
      <c r="JM11" s="49"/>
      <c r="JN11" s="49"/>
      <c r="JO11" s="49"/>
      <c r="JP11" s="42">
        <f t="shared" ref="JP11:JP21" si="1202">SUM(JJ11:JO11)</f>
        <v>0</v>
      </c>
      <c r="JQ11" s="43">
        <f t="shared" ref="JQ11:JQ21" si="1203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204">SUM(JR11:JW11)</f>
        <v>2011</v>
      </c>
      <c r="JY11" s="43">
        <f t="shared" ref="JY11:JY21" si="1205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6"/>
        <v>2026</v>
      </c>
      <c r="KG11" s="43">
        <f t="shared" si="197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8"/>
        <v>803</v>
      </c>
      <c r="KO11" s="68">
        <f t="shared" si="199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200"/>
        <v>1409</v>
      </c>
      <c r="KW11" s="68">
        <f t="shared" si="201"/>
        <v>234.83333333333334</v>
      </c>
      <c r="KX11" s="48"/>
      <c r="KY11" s="49"/>
      <c r="KZ11" s="49"/>
      <c r="LA11" s="49"/>
      <c r="LB11" s="49"/>
      <c r="LC11" s="49"/>
      <c r="LD11" s="67">
        <f t="shared" si="202"/>
        <v>0</v>
      </c>
      <c r="LE11" s="68">
        <f t="shared" si="203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4"/>
        <v>619</v>
      </c>
      <c r="LM11" s="68">
        <f t="shared" si="205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6"/>
        <v>1392</v>
      </c>
      <c r="LU11" s="68">
        <f t="shared" si="207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8"/>
        <v>2002</v>
      </c>
      <c r="MC11" s="68">
        <f t="shared" si="209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10"/>
        <v>1980</v>
      </c>
      <c r="MK11" s="68">
        <f t="shared" si="211"/>
        <v>330</v>
      </c>
      <c r="ML11" s="48"/>
      <c r="MM11" s="49"/>
      <c r="MN11" s="49"/>
      <c r="MO11" s="49"/>
      <c r="MP11" s="49"/>
      <c r="MQ11" s="49"/>
      <c r="MR11" s="67">
        <f t="shared" si="212"/>
        <v>0</v>
      </c>
      <c r="MS11" s="68">
        <f t="shared" si="213"/>
        <v>0</v>
      </c>
      <c r="MT11" s="48">
        <v>1002</v>
      </c>
      <c r="MU11" s="49"/>
      <c r="MV11" s="49"/>
      <c r="MW11" s="49"/>
      <c r="MX11" s="49"/>
      <c r="MY11" s="49"/>
      <c r="MZ11" s="67">
        <f t="shared" si="214"/>
        <v>1002</v>
      </c>
      <c r="NA11" s="68">
        <f t="shared" si="215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6"/>
        <v>1656</v>
      </c>
      <c r="NI11" s="68">
        <f t="shared" si="217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8"/>
        <v>1012</v>
      </c>
      <c r="NQ11" s="68">
        <f t="shared" si="219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20"/>
        <v>795</v>
      </c>
      <c r="NY11" s="68">
        <f t="shared" si="221"/>
        <v>132.5</v>
      </c>
      <c r="NZ11" s="48"/>
      <c r="OA11" s="49"/>
      <c r="OB11" s="49"/>
      <c r="OC11" s="49"/>
      <c r="OD11" s="49"/>
      <c r="OE11" s="49"/>
      <c r="OF11" s="67">
        <f t="shared" si="222"/>
        <v>0</v>
      </c>
      <c r="OG11" s="68">
        <f t="shared" si="223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4"/>
        <v>2387</v>
      </c>
      <c r="OO11" s="68">
        <f t="shared" si="225"/>
        <v>397.83333333333331</v>
      </c>
      <c r="OP11" s="48"/>
      <c r="OQ11" s="49"/>
      <c r="OR11" s="49"/>
      <c r="OS11" s="49"/>
      <c r="OT11" s="49"/>
      <c r="OU11" s="49"/>
      <c r="OV11" s="67">
        <f t="shared" si="226"/>
        <v>0</v>
      </c>
      <c r="OW11" s="68">
        <f t="shared" si="227"/>
        <v>0</v>
      </c>
      <c r="OX11" s="48"/>
      <c r="OY11" s="49"/>
      <c r="OZ11" s="49"/>
      <c r="PA11" s="49"/>
      <c r="PB11" s="49"/>
      <c r="PC11" s="49"/>
      <c r="PD11" s="67">
        <f t="shared" si="228"/>
        <v>0</v>
      </c>
      <c r="PE11" s="68">
        <f t="shared" si="229"/>
        <v>0</v>
      </c>
      <c r="PF11" s="48"/>
      <c r="PG11" s="49"/>
      <c r="PH11" s="49"/>
      <c r="PI11" s="49"/>
      <c r="PJ11" s="49">
        <v>1108</v>
      </c>
      <c r="PK11" s="49"/>
      <c r="PL11" s="67">
        <f t="shared" si="230"/>
        <v>1108</v>
      </c>
      <c r="PM11" s="68">
        <f t="shared" si="231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2"/>
        <v>1534</v>
      </c>
      <c r="PU11" s="105">
        <f t="shared" si="233"/>
        <v>255.66666666666666</v>
      </c>
      <c r="PV11" s="106"/>
      <c r="PW11" s="107"/>
      <c r="PX11" s="107"/>
      <c r="PY11" s="107"/>
      <c r="PZ11" s="107"/>
      <c r="QA11" s="107"/>
      <c r="QB11" s="104">
        <f t="shared" si="234"/>
        <v>0</v>
      </c>
      <c r="QC11" s="105">
        <f t="shared" si="235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6"/>
        <v>801</v>
      </c>
      <c r="QK11" s="105">
        <f t="shared" si="237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8"/>
        <v>605</v>
      </c>
      <c r="QS11" s="105">
        <f t="shared" si="239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40"/>
        <v>786</v>
      </c>
      <c r="RA11" s="105">
        <f t="shared" si="241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2"/>
        <v>1095</v>
      </c>
      <c r="RI11" s="105">
        <f t="shared" si="243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4"/>
        <v>420</v>
      </c>
      <c r="RQ11" s="105">
        <f t="shared" si="245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6"/>
        <v>1222</v>
      </c>
      <c r="RY11" s="105">
        <f t="shared" si="247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8"/>
        <v>1648</v>
      </c>
      <c r="SG11" s="105">
        <f t="shared" si="249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50"/>
        <v>800</v>
      </c>
      <c r="SO11" s="105">
        <f t="shared" si="251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2"/>
        <v>1222</v>
      </c>
      <c r="SW11" s="105">
        <f t="shared" si="253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4"/>
        <v>1562</v>
      </c>
      <c r="TE11" s="105">
        <f t="shared" si="255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6"/>
        <v>804</v>
      </c>
      <c r="TM11" s="105">
        <f t="shared" si="257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8"/>
        <v>400</v>
      </c>
      <c r="TU11" s="105">
        <f t="shared" si="259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60"/>
        <v>1771</v>
      </c>
      <c r="UC11" s="105">
        <f t="shared" si="261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2"/>
        <v>834</v>
      </c>
      <c r="UK11" s="105">
        <f t="shared" si="263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4"/>
        <v>0</v>
      </c>
      <c r="UT11" s="105">
        <f t="shared" si="265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6"/>
        <v>1600</v>
      </c>
      <c r="VB11" s="105">
        <f t="shared" si="267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8"/>
        <v>400</v>
      </c>
      <c r="VJ11" s="105">
        <f t="shared" si="269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70"/>
        <v>601</v>
      </c>
      <c r="VR11" s="105">
        <f t="shared" si="271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2"/>
        <v>797</v>
      </c>
      <c r="VZ11" s="105">
        <f t="shared" si="273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4"/>
        <v>942</v>
      </c>
      <c r="WH11" s="68">
        <f t="shared" si="275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6"/>
        <v>1292</v>
      </c>
      <c r="WP11" s="68">
        <f t="shared" si="277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8"/>
        <v>1206</v>
      </c>
      <c r="WY11" s="68">
        <f t="shared" si="279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80"/>
        <v>397</v>
      </c>
      <c r="XH11" s="68">
        <f t="shared" si="281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2"/>
        <v>501</v>
      </c>
      <c r="XQ11" s="105">
        <f t="shared" si="283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4"/>
        <v>600</v>
      </c>
      <c r="XZ11" s="68">
        <f t="shared" si="285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6"/>
        <v>1406</v>
      </c>
      <c r="YI11" s="68">
        <f t="shared" si="287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8"/>
        <v>803</v>
      </c>
      <c r="YR11" s="68">
        <f t="shared" si="289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90"/>
        <v>1400</v>
      </c>
      <c r="YZ11" s="68">
        <f t="shared" si="291"/>
        <v>233.33333333333334</v>
      </c>
      <c r="ZA11" s="48"/>
      <c r="ZB11" s="49"/>
      <c r="ZC11" s="49"/>
      <c r="ZD11" s="49"/>
      <c r="ZE11" s="49"/>
      <c r="ZF11" s="49"/>
      <c r="ZG11" s="67">
        <f t="shared" si="292"/>
        <v>0</v>
      </c>
      <c r="ZH11" s="68">
        <f t="shared" si="293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4"/>
        <v>1298</v>
      </c>
      <c r="ZP11" s="68">
        <f t="shared" si="295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6"/>
        <v>1199</v>
      </c>
      <c r="ZY11" s="68">
        <f t="shared" si="297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8"/>
        <v>803</v>
      </c>
      <c r="AAH11" s="68">
        <f t="shared" si="299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300"/>
        <v>398</v>
      </c>
      <c r="AAP11" s="68">
        <f t="shared" si="301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2"/>
        <v>1331</v>
      </c>
      <c r="AAX11" s="68">
        <f t="shared" si="303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4"/>
        <v>1435</v>
      </c>
      <c r="ABF11" s="68">
        <f t="shared" si="305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6"/>
        <v>731</v>
      </c>
      <c r="ABN11" s="68">
        <f t="shared" si="307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8"/>
        <v>1619</v>
      </c>
      <c r="ABV11" s="68">
        <f t="shared" si="309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10"/>
        <v>599</v>
      </c>
      <c r="ACD11" s="68">
        <f t="shared" si="311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2"/>
        <v>1729</v>
      </c>
      <c r="ACL11" s="68">
        <f t="shared" si="313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4"/>
        <v>622</v>
      </c>
      <c r="ACT11" s="68">
        <f t="shared" si="315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6"/>
        <v>1601</v>
      </c>
      <c r="ADB11" s="68">
        <f t="shared" si="317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8"/>
        <v>798</v>
      </c>
      <c r="ADJ11" s="68">
        <f t="shared" si="319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20"/>
        <v>618</v>
      </c>
      <c r="ADR11" s="68">
        <f t="shared" si="321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2"/>
        <v>1031</v>
      </c>
      <c r="ADZ11" s="68">
        <f t="shared" si="323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4"/>
        <v>2235</v>
      </c>
      <c r="AEH11" s="68">
        <f t="shared" si="325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6"/>
        <v>603</v>
      </c>
      <c r="AEP11" s="68">
        <f t="shared" si="327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8"/>
        <v>1095</v>
      </c>
      <c r="AEX11" s="68">
        <f t="shared" si="329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30"/>
        <v>804</v>
      </c>
      <c r="AFF11" s="68">
        <f t="shared" si="331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2"/>
        <v>1600</v>
      </c>
      <c r="AFN11" s="68">
        <f t="shared" si="333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4"/>
        <v>1004</v>
      </c>
      <c r="AFV11" s="68">
        <f t="shared" si="335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6"/>
        <v>601</v>
      </c>
      <c r="AGD11" s="68">
        <f t="shared" si="337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8"/>
        <v>902</v>
      </c>
      <c r="AGL11" s="68">
        <f t="shared" si="339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40"/>
        <v>626</v>
      </c>
      <c r="AGU11" s="68">
        <f t="shared" si="341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2"/>
        <v>1205</v>
      </c>
      <c r="AHC11" s="68">
        <f t="shared" si="343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4"/>
        <v>245</v>
      </c>
      <c r="AHK11" s="68">
        <f t="shared" si="345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6"/>
        <v>1020</v>
      </c>
      <c r="AHS11" s="68">
        <f t="shared" si="347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8"/>
        <v>1698</v>
      </c>
      <c r="AIA11" s="68">
        <f t="shared" si="349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50"/>
        <v>300</v>
      </c>
      <c r="AII11" s="68">
        <f t="shared" si="351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2"/>
        <v>709</v>
      </c>
      <c r="AIQ11" s="68">
        <f t="shared" si="353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4"/>
        <v>802</v>
      </c>
      <c r="AIY11" s="68">
        <f t="shared" si="355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6"/>
        <v>1057</v>
      </c>
      <c r="AJG11" s="68">
        <f t="shared" si="357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8"/>
        <v>917</v>
      </c>
      <c r="AJO11" s="43">
        <f t="shared" si="359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60"/>
        <v>808</v>
      </c>
      <c r="AJW11" s="43">
        <f t="shared" si="361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2"/>
        <v>1203</v>
      </c>
      <c r="AKE11" s="68">
        <f t="shared" si="363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4"/>
        <v>399</v>
      </c>
      <c r="AKM11" s="184">
        <f t="shared" si="365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6"/>
        <v>1245</v>
      </c>
      <c r="AKU11" s="184">
        <f t="shared" si="367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8"/>
        <v>600</v>
      </c>
      <c r="ALC11" s="68">
        <f t="shared" si="369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70"/>
        <v>803</v>
      </c>
      <c r="ALK11" s="68">
        <f t="shared" si="371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2"/>
        <v>873</v>
      </c>
      <c r="ALS11" s="68">
        <f t="shared" si="373"/>
        <v>145.5</v>
      </c>
      <c r="ALT11" s="48"/>
      <c r="ALU11" s="49"/>
      <c r="ALV11" s="49"/>
      <c r="ALW11" s="49"/>
      <c r="ALX11" s="49"/>
      <c r="ALY11" s="49"/>
      <c r="ALZ11" s="67">
        <f t="shared" si="374"/>
        <v>0</v>
      </c>
      <c r="AMA11" s="68">
        <f t="shared" si="375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6"/>
        <v>1595</v>
      </c>
      <c r="AMI11" s="68">
        <f t="shared" si="377"/>
        <v>265.83333333333331</v>
      </c>
      <c r="AMJ11" s="48"/>
      <c r="AMK11" s="49"/>
      <c r="AML11" s="49"/>
      <c r="AMM11" s="49"/>
      <c r="AMN11" s="49"/>
      <c r="AMO11" s="49"/>
      <c r="AMP11" s="67">
        <f t="shared" si="378"/>
        <v>0</v>
      </c>
      <c r="AMQ11" s="68">
        <f t="shared" si="379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80"/>
        <v>1302</v>
      </c>
      <c r="AMY11" s="68">
        <f t="shared" si="381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2"/>
        <v>807</v>
      </c>
      <c r="ANG11" s="68">
        <f t="shared" si="383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4"/>
        <v>2299</v>
      </c>
      <c r="ANO11" s="68">
        <f t="shared" si="385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6"/>
        <v>400</v>
      </c>
      <c r="ANW11" s="68">
        <f t="shared" si="387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8"/>
        <v>998</v>
      </c>
      <c r="AOE11" s="68">
        <f t="shared" si="389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90"/>
        <v>1001</v>
      </c>
      <c r="AOM11" s="68">
        <f t="shared" si="391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2"/>
        <v>799</v>
      </c>
      <c r="AOU11" s="68">
        <f t="shared" si="393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4"/>
        <v>400</v>
      </c>
      <c r="APC11" s="68">
        <f t="shared" si="395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6"/>
        <v>600</v>
      </c>
      <c r="APK11" s="68">
        <f t="shared" si="397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8"/>
        <v>602</v>
      </c>
      <c r="APS11" s="68">
        <f t="shared" si="399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400"/>
        <v>1601</v>
      </c>
      <c r="AQA11" s="68">
        <f t="shared" si="401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2"/>
        <v>401</v>
      </c>
      <c r="AQI11" s="68">
        <f t="shared" si="403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4"/>
        <v>899</v>
      </c>
      <c r="AQQ11" s="68">
        <f t="shared" si="405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6"/>
        <v>200</v>
      </c>
      <c r="AQY11" s="68">
        <f t="shared" si="407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8"/>
        <v>602</v>
      </c>
      <c r="ARG11" s="68">
        <f t="shared" si="409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10"/>
        <v>1189</v>
      </c>
      <c r="ARO11" s="68">
        <f t="shared" si="411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2"/>
        <v>300</v>
      </c>
      <c r="ARW11" s="68">
        <f t="shared" si="413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4"/>
        <v>402</v>
      </c>
      <c r="ASE11" s="68">
        <f t="shared" si="415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6"/>
        <v>1013</v>
      </c>
      <c r="ASM11" s="68">
        <f t="shared" si="417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8"/>
        <v>1001</v>
      </c>
      <c r="ASU11" s="68">
        <f t="shared" si="419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20"/>
        <v>802</v>
      </c>
      <c r="ATC11" s="68">
        <f t="shared" si="421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2"/>
        <v>400</v>
      </c>
      <c r="ATK11" s="68">
        <f t="shared" si="423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4"/>
        <v>403</v>
      </c>
      <c r="ATS11" s="68">
        <f t="shared" si="425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6"/>
        <v>805</v>
      </c>
      <c r="AUA11" s="68">
        <f t="shared" si="427"/>
        <v>134.16666666666666</v>
      </c>
      <c r="AUB11" s="48"/>
      <c r="AUC11" s="49"/>
      <c r="AUD11" s="49"/>
      <c r="AUE11" s="49"/>
      <c r="AUF11" s="49"/>
      <c r="AUG11" s="49"/>
      <c r="AUH11" s="67">
        <f t="shared" si="428"/>
        <v>0</v>
      </c>
      <c r="AUI11" s="68">
        <f t="shared" si="429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30"/>
        <v>1000</v>
      </c>
      <c r="AUQ11" s="68">
        <f t="shared" si="431"/>
        <v>166.66666666666666</v>
      </c>
      <c r="AUR11" s="48"/>
      <c r="AUS11" s="49"/>
      <c r="AUT11" s="49"/>
      <c r="AUU11" s="49"/>
      <c r="AUV11" s="49"/>
      <c r="AUW11" s="49"/>
      <c r="AUX11" s="67">
        <f t="shared" si="432"/>
        <v>0</v>
      </c>
      <c r="AUY11" s="68">
        <f t="shared" si="433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4"/>
        <v>201</v>
      </c>
      <c r="AVG11" s="68">
        <f t="shared" si="435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6"/>
        <v>857</v>
      </c>
      <c r="AVO11" s="68">
        <f t="shared" si="437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8"/>
        <v>189</v>
      </c>
      <c r="AVW11" s="68">
        <f t="shared" si="439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40"/>
        <v>600</v>
      </c>
      <c r="AWE11" s="68">
        <f t="shared" si="441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2"/>
        <v>801</v>
      </c>
      <c r="AWM11" s="68">
        <f t="shared" si="443"/>
        <v>133.5</v>
      </c>
      <c r="AWN11" s="48"/>
      <c r="AWO11" s="49"/>
      <c r="AWP11" s="49"/>
      <c r="AWQ11" s="49"/>
      <c r="AWR11" s="49"/>
      <c r="AWS11" s="49"/>
      <c r="AWT11" s="42">
        <f t="shared" si="444"/>
        <v>0</v>
      </c>
      <c r="AWU11" s="43">
        <f t="shared" si="445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6"/>
        <v>400</v>
      </c>
      <c r="AXC11" s="43">
        <f t="shared" si="447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8"/>
        <v>200</v>
      </c>
      <c r="AXK11" s="43">
        <f t="shared" si="449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50"/>
        <v>810</v>
      </c>
      <c r="AXS11" s="43">
        <f t="shared" si="451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2"/>
        <v>103</v>
      </c>
      <c r="AYA11" s="43">
        <f t="shared" si="453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4"/>
        <v>802</v>
      </c>
      <c r="AYI11" s="43">
        <f t="shared" si="455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6"/>
        <v>783</v>
      </c>
      <c r="AYQ11" s="43">
        <f t="shared" si="457"/>
        <v>130.5</v>
      </c>
      <c r="AYR11" s="48"/>
      <c r="AYS11" s="49"/>
      <c r="AYT11" s="49"/>
      <c r="AYU11" s="49"/>
      <c r="AYV11" s="49"/>
      <c r="AYW11" s="49"/>
      <c r="AYX11" s="42">
        <f t="shared" si="458"/>
        <v>0</v>
      </c>
      <c r="AYY11" s="43">
        <f t="shared" si="459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60"/>
        <v>605</v>
      </c>
      <c r="AZG11" s="43">
        <f t="shared" si="461"/>
        <v>100.83333333333333</v>
      </c>
      <c r="AZH11" s="48"/>
      <c r="AZI11" s="49"/>
      <c r="AZJ11" s="49"/>
      <c r="AZK11" s="49"/>
      <c r="AZL11" s="49"/>
      <c r="AZM11" s="49"/>
      <c r="AZN11" s="42">
        <f t="shared" si="462"/>
        <v>0</v>
      </c>
      <c r="AZO11" s="43">
        <f t="shared" si="463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4"/>
        <v>900</v>
      </c>
      <c r="AZW11" s="43">
        <f t="shared" si="465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6"/>
        <v>405</v>
      </c>
      <c r="BAE11" s="43">
        <f t="shared" si="467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8"/>
        <v>406</v>
      </c>
      <c r="BAM11" s="43">
        <f t="shared" si="469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70"/>
        <v>443</v>
      </c>
      <c r="BAU11" s="43">
        <f t="shared" si="471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2"/>
        <v>599</v>
      </c>
      <c r="BBC11" s="43">
        <f t="shared" si="473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4"/>
        <v>400</v>
      </c>
      <c r="BBK11" s="43">
        <f t="shared" si="475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6"/>
        <v>601</v>
      </c>
      <c r="BBS11" s="43">
        <f t="shared" si="477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8"/>
        <v>798</v>
      </c>
      <c r="BCA11" s="43">
        <f t="shared" si="479"/>
        <v>133</v>
      </c>
      <c r="BCB11" s="48"/>
      <c r="BCC11" s="49"/>
      <c r="BCD11" s="49"/>
      <c r="BCE11" s="49"/>
      <c r="BCF11" s="49"/>
      <c r="BCG11" s="49"/>
      <c r="BCH11" s="42">
        <f t="shared" si="480"/>
        <v>0</v>
      </c>
      <c r="BCI11" s="43">
        <f t="shared" si="481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2"/>
        <v>660</v>
      </c>
      <c r="BCQ11" s="43">
        <f t="shared" si="483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4"/>
        <v>400</v>
      </c>
      <c r="BCY11" s="43">
        <f t="shared" si="485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6"/>
        <v>400</v>
      </c>
      <c r="BDG11" s="43">
        <f t="shared" si="487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8"/>
        <v>600</v>
      </c>
      <c r="BDO11" s="43">
        <f t="shared" si="489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90"/>
        <v>600</v>
      </c>
      <c r="BDW11" s="43">
        <f t="shared" si="491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2"/>
        <v>300</v>
      </c>
      <c r="BEE11" s="43">
        <f t="shared" si="493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4"/>
        <v>400</v>
      </c>
      <c r="BEM11" s="43">
        <f t="shared" si="495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6"/>
        <v>400</v>
      </c>
      <c r="BEU11" s="43">
        <f t="shared" si="497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8"/>
        <v>598</v>
      </c>
      <c r="BFC11" s="43">
        <f t="shared" si="499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500"/>
        <v>400</v>
      </c>
      <c r="BFK11" s="43">
        <f t="shared" si="501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2"/>
        <v>400</v>
      </c>
      <c r="BFS11" s="43">
        <f t="shared" si="503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4"/>
        <v>801</v>
      </c>
      <c r="BGA11" s="43">
        <f t="shared" si="505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6"/>
        <v>386</v>
      </c>
      <c r="BGI11" s="43">
        <f t="shared" si="507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8"/>
        <v>600</v>
      </c>
      <c r="BGQ11" s="43">
        <f t="shared" si="509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10"/>
        <v>1000</v>
      </c>
      <c r="BGY11" s="43">
        <f t="shared" si="511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2"/>
        <v>198</v>
      </c>
      <c r="BHG11" s="43">
        <f t="shared" si="513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4"/>
        <v>601</v>
      </c>
      <c r="BHO11" s="43">
        <f t="shared" si="515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6"/>
        <v>400</v>
      </c>
      <c r="BHW11" s="43">
        <f t="shared" si="517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8"/>
        <v>201</v>
      </c>
      <c r="BIE11" s="43">
        <f t="shared" si="519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20"/>
        <v>398</v>
      </c>
      <c r="BIM11" s="43">
        <f t="shared" si="521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2"/>
        <v>1158</v>
      </c>
      <c r="BIU11" s="43">
        <f t="shared" si="523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4"/>
        <v>544</v>
      </c>
      <c r="BJC11" s="43">
        <f t="shared" si="525"/>
        <v>90.666666666666671</v>
      </c>
      <c r="BJD11" s="48"/>
      <c r="BJE11" s="49"/>
      <c r="BJF11" s="49"/>
      <c r="BJG11" s="49"/>
      <c r="BJH11" s="49"/>
      <c r="BJI11" s="49"/>
      <c r="BJJ11" s="42">
        <f t="shared" si="526"/>
        <v>0</v>
      </c>
      <c r="BJK11" s="43">
        <f t="shared" si="527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8"/>
        <v>500</v>
      </c>
      <c r="BJS11" s="43">
        <f t="shared" si="529"/>
        <v>83.333333333333329</v>
      </c>
      <c r="BJT11" s="63"/>
      <c r="BJU11" s="64"/>
      <c r="BJV11" s="64"/>
      <c r="BJW11" s="64"/>
      <c r="BJX11" s="64"/>
      <c r="BJY11" s="64"/>
      <c r="BJZ11" s="42">
        <f t="shared" si="530"/>
        <v>0</v>
      </c>
      <c r="BKA11" s="43">
        <f t="shared" si="531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2"/>
        <v>500</v>
      </c>
      <c r="BKI11" s="68">
        <f t="shared" si="533"/>
        <v>83.333333333333329</v>
      </c>
      <c r="BKJ11" s="48"/>
      <c r="BKK11" s="49"/>
      <c r="BKL11" s="49"/>
      <c r="BKM11" s="49"/>
      <c r="BKN11" s="49"/>
      <c r="BKO11" s="49"/>
      <c r="BKP11" s="42">
        <f t="shared" si="534"/>
        <v>0</v>
      </c>
      <c r="BKQ11" s="43">
        <f t="shared" si="535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6"/>
        <v>1025</v>
      </c>
      <c r="BKY11" s="43">
        <f t="shared" si="537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8"/>
        <v>42</v>
      </c>
      <c r="BLG11" s="43">
        <f t="shared" si="539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40"/>
        <v>836</v>
      </c>
      <c r="BLO11" s="43">
        <f t="shared" si="541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2"/>
        <v>400</v>
      </c>
      <c r="BLW11" s="43">
        <f t="shared" si="543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4"/>
        <v>600</v>
      </c>
      <c r="BME11" s="43">
        <f t="shared" si="545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6"/>
        <v>600</v>
      </c>
      <c r="BMM11" s="43">
        <f t="shared" si="547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8"/>
        <v>400</v>
      </c>
      <c r="BMU11" s="43">
        <f t="shared" si="549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50"/>
        <v>1003</v>
      </c>
      <c r="BNC11" s="43">
        <f t="shared" si="551"/>
        <v>167.16666666666666</v>
      </c>
      <c r="BND11" s="48"/>
      <c r="BNE11" s="49"/>
      <c r="BNF11" s="49"/>
      <c r="BNG11" s="49"/>
      <c r="BNH11" s="49"/>
      <c r="BNI11" s="49"/>
      <c r="BNJ11" s="42">
        <f t="shared" si="552"/>
        <v>0</v>
      </c>
      <c r="BNK11" s="43">
        <f t="shared" si="553"/>
        <v>0</v>
      </c>
      <c r="BNL11" s="48"/>
      <c r="BNM11" s="49"/>
      <c r="BNN11" s="49"/>
      <c r="BNO11" s="49"/>
      <c r="BNP11" s="49"/>
      <c r="BNQ11" s="49"/>
      <c r="BNR11" s="42">
        <f t="shared" si="554"/>
        <v>0</v>
      </c>
      <c r="BNS11" s="43">
        <f t="shared" si="555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6"/>
        <v>222</v>
      </c>
      <c r="BOA11" s="43">
        <f t="shared" si="557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8"/>
        <v>798</v>
      </c>
      <c r="BOI11" s="43">
        <f t="shared" si="559"/>
        <v>133</v>
      </c>
      <c r="BOJ11" s="48"/>
      <c r="BOK11" s="49"/>
      <c r="BOL11" s="49"/>
      <c r="BOM11" s="49"/>
      <c r="BON11" s="49"/>
      <c r="BOO11" s="49"/>
      <c r="BOP11" s="42">
        <f t="shared" si="560"/>
        <v>0</v>
      </c>
      <c r="BOQ11" s="43">
        <f t="shared" si="561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2"/>
        <v>100</v>
      </c>
      <c r="BOY11" s="43">
        <f t="shared" si="563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4"/>
        <v>301</v>
      </c>
      <c r="BPG11" s="43">
        <f t="shared" si="565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6"/>
        <v>923</v>
      </c>
      <c r="BPO11" s="43">
        <f t="shared" si="567"/>
        <v>153.83333333333334</v>
      </c>
      <c r="BPP11" s="48"/>
      <c r="BPQ11" s="49"/>
      <c r="BPR11" s="49"/>
      <c r="BPS11" s="49"/>
      <c r="BPT11" s="49"/>
      <c r="BPU11" s="49"/>
      <c r="BPV11" s="42">
        <f t="shared" si="568"/>
        <v>0</v>
      </c>
      <c r="BPW11" s="43">
        <f t="shared" si="569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70"/>
        <v>382</v>
      </c>
      <c r="BQE11" s="43">
        <f t="shared" si="571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2"/>
        <v>660</v>
      </c>
      <c r="BQM11" s="43">
        <f t="shared" si="573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4"/>
        <v>200</v>
      </c>
      <c r="BQU11" s="43">
        <f t="shared" si="575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6"/>
        <v>300</v>
      </c>
      <c r="BRC11" s="43">
        <f t="shared" si="577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8"/>
        <v>438</v>
      </c>
      <c r="BRK11" s="43">
        <f t="shared" si="579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80"/>
        <v>1012</v>
      </c>
      <c r="BRS11" s="68">
        <f t="shared" si="581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2"/>
        <v>330</v>
      </c>
      <c r="BSA11" s="43">
        <f t="shared" si="583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4"/>
        <v>908</v>
      </c>
      <c r="BSI11" s="43">
        <f t="shared" si="585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6"/>
        <v>732</v>
      </c>
      <c r="BSQ11" s="43">
        <f t="shared" si="587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8"/>
        <v>386</v>
      </c>
      <c r="BSY11" s="43">
        <f t="shared" si="589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90"/>
        <v>999</v>
      </c>
      <c r="BTG11" s="43">
        <f t="shared" si="591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2"/>
        <v>300</v>
      </c>
      <c r="BTO11" s="68">
        <f t="shared" si="593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4"/>
        <v>501</v>
      </c>
      <c r="BTW11" s="43">
        <f t="shared" si="595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6"/>
        <v>1003</v>
      </c>
      <c r="BUE11" s="68">
        <f t="shared" si="597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8"/>
        <v>400</v>
      </c>
      <c r="BUM11" s="68">
        <f t="shared" si="599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600"/>
        <v>880</v>
      </c>
      <c r="BUU11" s="68">
        <f t="shared" si="601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2"/>
        <v>1002</v>
      </c>
      <c r="BVC11" s="68">
        <f t="shared" si="603"/>
        <v>167</v>
      </c>
      <c r="BVD11" s="48"/>
      <c r="BVE11" s="49"/>
      <c r="BVF11" s="49"/>
      <c r="BVG11" s="49"/>
      <c r="BVH11" s="49"/>
      <c r="BVI11" s="49"/>
      <c r="BVJ11" s="67">
        <f t="shared" si="604"/>
        <v>0</v>
      </c>
      <c r="BVK11" s="68">
        <f t="shared" si="605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6"/>
        <v>645</v>
      </c>
      <c r="BVS11" s="68">
        <f t="shared" si="607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8"/>
        <v>1097</v>
      </c>
      <c r="BWA11" s="68">
        <f t="shared" si="609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10"/>
        <v>440</v>
      </c>
      <c r="BWI11" s="68">
        <f t="shared" si="611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2"/>
        <v>199</v>
      </c>
      <c r="BWQ11" s="68">
        <f t="shared" si="613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4"/>
        <v>400</v>
      </c>
      <c r="BWY11" s="68">
        <f t="shared" si="615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6"/>
        <v>600</v>
      </c>
      <c r="BXG11" s="68">
        <f t="shared" si="617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8"/>
        <v>599</v>
      </c>
      <c r="BXO11" s="68">
        <f t="shared" si="619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20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21"/>
        <v>400</v>
      </c>
      <c r="BYE11" s="68">
        <f t="shared" si="622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3"/>
        <v>533</v>
      </c>
      <c r="BYM11" s="68">
        <f t="shared" si="624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5"/>
        <v>800</v>
      </c>
      <c r="BYU11" s="68">
        <f t="shared" si="626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7"/>
        <v>880</v>
      </c>
      <c r="BZC11" s="68">
        <f t="shared" si="628"/>
        <v>146.66666666666666</v>
      </c>
      <c r="BZD11" s="48"/>
      <c r="BZE11" s="49"/>
      <c r="BZF11" s="49"/>
      <c r="BZG11" s="49"/>
      <c r="BZH11" s="49"/>
      <c r="BZI11" s="49"/>
      <c r="BZJ11" s="67">
        <f t="shared" si="629"/>
        <v>0</v>
      </c>
      <c r="BZK11" s="68">
        <f t="shared" si="630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31"/>
        <v>631</v>
      </c>
      <c r="BZS11" s="68">
        <f t="shared" si="632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3"/>
        <v>640</v>
      </c>
      <c r="CAA11" s="68">
        <f t="shared" si="634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5"/>
        <v>520</v>
      </c>
      <c r="CAI11" s="68">
        <f t="shared" si="636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7"/>
        <v>925</v>
      </c>
      <c r="CAQ11" s="68">
        <f t="shared" si="638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9"/>
        <v>208</v>
      </c>
      <c r="CAY11" s="68">
        <f t="shared" si="640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41"/>
        <v>398</v>
      </c>
      <c r="CBG11" s="68">
        <f t="shared" si="642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3"/>
        <v>906</v>
      </c>
      <c r="CBO11" s="68">
        <f t="shared" si="644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5"/>
        <v>100</v>
      </c>
      <c r="CBW11" s="68">
        <f t="shared" si="646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7"/>
        <v>722</v>
      </c>
      <c r="CCE11" s="68">
        <f t="shared" si="648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9"/>
        <v>440</v>
      </c>
      <c r="CCM11" s="68">
        <f t="shared" si="650"/>
        <v>73.333333333333329</v>
      </c>
      <c r="CCN11" s="48"/>
      <c r="CCO11" s="49"/>
      <c r="CCP11" s="49"/>
      <c r="CCQ11" s="49"/>
      <c r="CCR11" s="49"/>
      <c r="CCS11" s="49"/>
      <c r="CCT11" s="67">
        <f t="shared" si="651"/>
        <v>0</v>
      </c>
      <c r="CCU11" s="68">
        <f t="shared" si="652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3"/>
        <v>600</v>
      </c>
      <c r="CDC11" s="68">
        <f t="shared" si="654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5"/>
        <v>1266</v>
      </c>
      <c r="CDK11" s="68">
        <f t="shared" si="656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7"/>
        <v>220</v>
      </c>
      <c r="CDS11" s="68">
        <f t="shared" si="658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9"/>
        <v>460</v>
      </c>
      <c r="CEA11" s="68">
        <f t="shared" si="660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61"/>
        <v>440</v>
      </c>
      <c r="CEI11" s="68">
        <f t="shared" si="662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3"/>
        <v>400</v>
      </c>
      <c r="CEQ11" s="68">
        <f t="shared" si="664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5"/>
        <v>427</v>
      </c>
      <c r="CEY11" s="68">
        <f t="shared" si="666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7"/>
        <v>971</v>
      </c>
      <c r="CFG11" s="68">
        <f t="shared" si="668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9"/>
        <v>200</v>
      </c>
      <c r="CFO11" s="68">
        <f t="shared" si="670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71"/>
        <v>999</v>
      </c>
      <c r="CFW11" s="68">
        <f t="shared" si="672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3"/>
        <v>666</v>
      </c>
      <c r="CGE11" s="68">
        <f t="shared" si="674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5"/>
        <v>216</v>
      </c>
      <c r="CGM11" s="68">
        <f t="shared" si="676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7"/>
        <v>331</v>
      </c>
      <c r="CGU11" s="68">
        <f t="shared" si="678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9"/>
        <v>446</v>
      </c>
      <c r="CHC11" s="68">
        <f t="shared" si="680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81"/>
        <v>656</v>
      </c>
      <c r="CHK11" s="68">
        <f t="shared" si="682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3"/>
        <v>1051</v>
      </c>
      <c r="CHS11" s="68">
        <f t="shared" si="684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5"/>
        <v>657</v>
      </c>
      <c r="CIA11" s="68">
        <f t="shared" si="686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7"/>
        <v>657</v>
      </c>
      <c r="CII11" s="68">
        <f t="shared" si="688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9"/>
        <v>417</v>
      </c>
      <c r="CIQ11" s="68">
        <f t="shared" si="690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91"/>
        <v>641</v>
      </c>
      <c r="CIY11" s="68">
        <f t="shared" si="692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3"/>
        <v>221</v>
      </c>
      <c r="CJG11" s="68">
        <f t="shared" ref="CJG11:CJG21" si="1206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4"/>
        <v>885</v>
      </c>
      <c r="CJO11" s="68">
        <f t="shared" si="695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6"/>
        <v>329</v>
      </c>
      <c r="CJW11" s="68">
        <f t="shared" si="697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8"/>
        <v>956</v>
      </c>
      <c r="CKE11" s="68">
        <f t="shared" si="699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700"/>
        <v>919</v>
      </c>
      <c r="CKM11" s="68">
        <f t="shared" si="701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2"/>
        <v>538</v>
      </c>
      <c r="CKU11" s="68">
        <f t="shared" si="703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4"/>
        <v>220</v>
      </c>
      <c r="CLC11" s="68">
        <f t="shared" si="705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6"/>
        <v>329</v>
      </c>
      <c r="CLK11" s="68">
        <f t="shared" si="707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8"/>
        <v>330</v>
      </c>
      <c r="CLS11" s="68">
        <f t="shared" si="709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10"/>
        <v>341</v>
      </c>
      <c r="CMA11" s="68">
        <f t="shared" si="711"/>
        <v>56.833333333333336</v>
      </c>
      <c r="CMB11" s="48"/>
      <c r="CMC11" s="49"/>
      <c r="CMD11" s="49"/>
      <c r="CME11" s="49"/>
      <c r="CMF11" s="49"/>
      <c r="CMG11" s="49"/>
      <c r="CMH11" s="67">
        <f t="shared" si="712"/>
        <v>0</v>
      </c>
      <c r="CMI11" s="68">
        <f t="shared" si="713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4"/>
        <v>773</v>
      </c>
      <c r="CMQ11" s="68">
        <f t="shared" si="715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6"/>
        <v>442</v>
      </c>
      <c r="CMY11" s="68">
        <f t="shared" si="717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8"/>
        <v>323</v>
      </c>
      <c r="CNG11" s="68">
        <f t="shared" si="719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20"/>
        <v>440</v>
      </c>
      <c r="CNO11" s="68">
        <f t="shared" si="721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2"/>
        <v>660</v>
      </c>
      <c r="CNW11" s="68">
        <f t="shared" si="723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4"/>
        <v>439</v>
      </c>
      <c r="COE11" s="68">
        <f t="shared" si="725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6"/>
        <v>220</v>
      </c>
      <c r="COM11" s="68">
        <f t="shared" si="727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8"/>
        <v>663</v>
      </c>
      <c r="COU11" s="68">
        <f t="shared" si="729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30"/>
        <v>639</v>
      </c>
      <c r="CPC11" s="68">
        <f t="shared" si="731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2"/>
        <v>440</v>
      </c>
      <c r="CPK11" s="68">
        <f t="shared" si="733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4"/>
        <v>0</v>
      </c>
      <c r="CPS11" s="68">
        <f t="shared" si="735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6"/>
        <v>110</v>
      </c>
      <c r="CQA11" s="68">
        <f t="shared" si="737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8"/>
        <v>758</v>
      </c>
      <c r="CQI11" s="68">
        <f t="shared" si="739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40"/>
        <v>110</v>
      </c>
      <c r="CQQ11" s="68">
        <f t="shared" si="741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2"/>
        <v>440</v>
      </c>
      <c r="CQY11" s="68">
        <f t="shared" si="743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4"/>
        <v>647</v>
      </c>
      <c r="CRG11" s="68">
        <f t="shared" si="745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6"/>
        <v>440</v>
      </c>
      <c r="CRO11" s="68">
        <f t="shared" si="747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8"/>
        <v>219</v>
      </c>
      <c r="CRW11" s="68">
        <f t="shared" si="749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50"/>
        <v>300</v>
      </c>
      <c r="CSE11" s="68">
        <f t="shared" si="751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2"/>
        <v>250</v>
      </c>
      <c r="CSM11" s="68">
        <f t="shared" si="753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4"/>
        <v>530</v>
      </c>
      <c r="CSU11" s="68">
        <f t="shared" si="755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6"/>
        <v>327</v>
      </c>
      <c r="CTC11" s="68">
        <f t="shared" si="757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8"/>
        <v>440</v>
      </c>
      <c r="CTK11" s="68">
        <f t="shared" si="759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60"/>
        <v>318</v>
      </c>
      <c r="CTS11" s="68">
        <f t="shared" si="761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2"/>
        <v>548</v>
      </c>
      <c r="CUA11" s="68">
        <f t="shared" si="763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4"/>
        <v>754</v>
      </c>
      <c r="CUI11" s="68">
        <f t="shared" si="765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6"/>
        <v>211</v>
      </c>
      <c r="CUQ11" s="68">
        <f t="shared" si="767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8"/>
        <v>766</v>
      </c>
      <c r="CUY11" s="68">
        <f t="shared" si="769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70"/>
        <v>328</v>
      </c>
      <c r="CVG11" s="68">
        <f t="shared" si="771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2"/>
        <v>641</v>
      </c>
      <c r="CVO11" s="68">
        <f t="shared" si="773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4"/>
        <v>419</v>
      </c>
      <c r="CVW11" s="68">
        <f t="shared" si="775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6"/>
        <v>438</v>
      </c>
      <c r="CWE11" s="68">
        <f t="shared" si="777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8"/>
        <v>112</v>
      </c>
      <c r="CWM11" s="68">
        <f t="shared" si="779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80"/>
        <v>546</v>
      </c>
      <c r="CWU11" s="68">
        <f t="shared" si="781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2"/>
        <v>486</v>
      </c>
      <c r="CXC11" s="43">
        <f t="shared" si="783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4"/>
        <v>660</v>
      </c>
      <c r="CXK11" s="43">
        <f t="shared" si="785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6"/>
        <v>618</v>
      </c>
      <c r="CXS11" s="43">
        <f t="shared" si="787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8"/>
        <v>222</v>
      </c>
      <c r="CYA11" s="43">
        <f t="shared" si="789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90"/>
        <v>443</v>
      </c>
      <c r="CYI11" s="43">
        <f t="shared" si="791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2"/>
        <v>431</v>
      </c>
      <c r="CYQ11" s="43">
        <f t="shared" si="793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4"/>
        <v>550</v>
      </c>
      <c r="CYY11" s="43">
        <f t="shared" si="795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6"/>
        <v>110</v>
      </c>
      <c r="CZG11" s="43">
        <f t="shared" si="797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8"/>
        <v>801</v>
      </c>
      <c r="CZO11" s="43">
        <f t="shared" si="799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800"/>
        <v>0</v>
      </c>
      <c r="CZW11" s="43">
        <f t="shared" si="801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2"/>
        <v>550</v>
      </c>
      <c r="DAE11" s="68">
        <f t="shared" si="803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4"/>
        <v>938</v>
      </c>
      <c r="DAM11" s="68">
        <f t="shared" si="805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6"/>
        <v>220</v>
      </c>
      <c r="DAU11" s="68">
        <f t="shared" si="807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8"/>
        <v>449</v>
      </c>
      <c r="DBC11" s="68">
        <f t="shared" si="809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10"/>
        <v>440</v>
      </c>
      <c r="DBK11" s="68">
        <f t="shared" si="811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2"/>
        <v>330</v>
      </c>
      <c r="DBS11" s="68">
        <f t="shared" si="813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4"/>
        <v>220</v>
      </c>
      <c r="DCA11" s="68">
        <f t="shared" si="815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6"/>
        <v>328</v>
      </c>
      <c r="DCI11" s="68">
        <f t="shared" si="817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8"/>
        <v>549</v>
      </c>
      <c r="DCQ11" s="68">
        <f t="shared" si="819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20"/>
        <v>440</v>
      </c>
      <c r="DCY11" s="68">
        <f t="shared" si="821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2"/>
        <v>329</v>
      </c>
      <c r="DDG11" s="68">
        <f t="shared" si="823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4"/>
        <v>330</v>
      </c>
      <c r="DDO11" s="43">
        <f t="shared" si="825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6"/>
        <v>662</v>
      </c>
      <c r="DDW11" s="43">
        <f t="shared" si="827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8"/>
        <v>220</v>
      </c>
      <c r="DEE11" s="43">
        <f t="shared" si="829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30"/>
        <v>550</v>
      </c>
      <c r="DEM11" s="43">
        <f t="shared" si="831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2"/>
        <v>440</v>
      </c>
      <c r="DEU11" s="43">
        <f t="shared" si="833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4"/>
        <v>219</v>
      </c>
      <c r="DFC11" s="43">
        <f t="shared" si="835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6"/>
        <v>550</v>
      </c>
      <c r="DFK11" s="43">
        <f t="shared" si="837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8"/>
        <v>271</v>
      </c>
      <c r="DFS11" s="68">
        <f t="shared" si="839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40"/>
        <v>555</v>
      </c>
      <c r="DGA11" s="43">
        <f t="shared" si="841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2"/>
        <v>330</v>
      </c>
      <c r="DGI11" s="43">
        <f t="shared" si="843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4"/>
        <v>332</v>
      </c>
      <c r="DGQ11" s="68">
        <f t="shared" si="845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6"/>
        <v>330</v>
      </c>
      <c r="DGY11" s="68">
        <f t="shared" si="847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8"/>
        <v>551</v>
      </c>
      <c r="DHG11" s="68">
        <f t="shared" si="849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50"/>
        <v>330</v>
      </c>
      <c r="DHO11" s="68">
        <f t="shared" si="851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2"/>
        <v>660</v>
      </c>
      <c r="DHW11" s="68">
        <f t="shared" si="853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4"/>
        <v>220</v>
      </c>
      <c r="DIE11" s="68">
        <f t="shared" si="855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6"/>
        <v>332</v>
      </c>
      <c r="DIM11" s="68">
        <f t="shared" si="857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8"/>
        <v>222</v>
      </c>
      <c r="DIU11" s="68">
        <f t="shared" si="859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60"/>
        <v>441</v>
      </c>
      <c r="DJC11" s="68">
        <f t="shared" si="861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2"/>
        <v>219</v>
      </c>
      <c r="DJK11" s="68">
        <f t="shared" si="863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4"/>
        <v>441</v>
      </c>
      <c r="DJS11" s="68">
        <f t="shared" si="865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6"/>
        <v>331</v>
      </c>
      <c r="DKA11" s="68">
        <f t="shared" si="867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8"/>
        <v>549</v>
      </c>
      <c r="DKI11" s="68">
        <f t="shared" si="869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70"/>
        <v>220</v>
      </c>
      <c r="DKQ11" s="68">
        <f t="shared" si="871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2"/>
        <v>460</v>
      </c>
      <c r="DKY11" s="68">
        <f t="shared" si="873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4"/>
        <v>550</v>
      </c>
      <c r="DLG11" s="68">
        <f t="shared" si="875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6"/>
        <v>219</v>
      </c>
      <c r="DLO11" s="68">
        <f t="shared" si="877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8"/>
        <v>331</v>
      </c>
      <c r="DLW11" s="68">
        <f t="shared" si="879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80"/>
        <v>330</v>
      </c>
      <c r="DME11" s="68">
        <f t="shared" si="881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2"/>
        <v>186</v>
      </c>
      <c r="DMM11" s="68">
        <f t="shared" si="883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4"/>
        <v>546</v>
      </c>
      <c r="DMU11" s="68">
        <f t="shared" si="885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6"/>
        <v>220</v>
      </c>
      <c r="DNC11" s="68">
        <f t="shared" si="887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8"/>
        <v>288</v>
      </c>
      <c r="DNK11" s="68">
        <f t="shared" si="889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90"/>
        <v>330</v>
      </c>
      <c r="DNS11" s="68">
        <f t="shared" si="891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2"/>
        <v>332</v>
      </c>
      <c r="DOA11" s="68">
        <f t="shared" si="893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4"/>
        <v>325</v>
      </c>
      <c r="DOI11" s="68">
        <f t="shared" si="895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6"/>
        <v>330</v>
      </c>
      <c r="DOQ11" s="68">
        <f t="shared" si="897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8"/>
        <v>220</v>
      </c>
      <c r="DOY11" s="68">
        <f t="shared" si="899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900"/>
        <v>220</v>
      </c>
      <c r="DPG11" s="68">
        <f t="shared" si="901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2"/>
        <v>552</v>
      </c>
      <c r="DPO11" s="68">
        <f t="shared" si="903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4"/>
        <v>326</v>
      </c>
      <c r="DPW11" s="492">
        <f t="shared" si="905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6"/>
        <v>440</v>
      </c>
      <c r="DQE11" s="492">
        <f t="shared" si="907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8"/>
        <v>668</v>
      </c>
      <c r="DQM11" s="492">
        <f t="shared" si="909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10"/>
        <v>322</v>
      </c>
      <c r="DQU11" s="68">
        <f t="shared" si="911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2"/>
        <v>364</v>
      </c>
      <c r="DRC11" s="492">
        <f t="shared" si="913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4"/>
        <v>110</v>
      </c>
      <c r="DRK11" s="492">
        <f t="shared" si="915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6"/>
        <v>572</v>
      </c>
      <c r="DRS11" s="68">
        <f t="shared" si="917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8"/>
        <v>110</v>
      </c>
      <c r="DSA11" s="68">
        <f t="shared" si="919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20"/>
        <v>552</v>
      </c>
      <c r="DSI11" s="68">
        <f t="shared" si="921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2"/>
        <v>330</v>
      </c>
      <c r="DSQ11" s="68">
        <f t="shared" si="923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4"/>
        <v>0</v>
      </c>
      <c r="DSY11" s="68">
        <f t="shared" si="925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6"/>
        <v>330</v>
      </c>
      <c r="DTG11" s="68">
        <f t="shared" si="927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8"/>
        <v>331</v>
      </c>
      <c r="DTO11" s="68">
        <f t="shared" si="929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30"/>
        <v>331</v>
      </c>
      <c r="DTW11" s="68">
        <f t="shared" si="931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2"/>
        <v>551</v>
      </c>
      <c r="DUE11" s="68">
        <f t="shared" si="933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4"/>
        <v>538</v>
      </c>
      <c r="DUM11" s="68">
        <f t="shared" si="935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6"/>
        <v>255</v>
      </c>
      <c r="DUU11" s="184">
        <f t="shared" si="937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8"/>
        <v>408</v>
      </c>
      <c r="DVC11" s="68">
        <f t="shared" si="939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40"/>
        <v>884</v>
      </c>
      <c r="DVK11" s="68">
        <f t="shared" si="941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2"/>
        <v>0</v>
      </c>
      <c r="DVS11" s="68">
        <f t="shared" si="943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4"/>
        <v>0</v>
      </c>
      <c r="DWA11" s="68">
        <f t="shared" si="945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6"/>
        <v>220</v>
      </c>
      <c r="DWI11" s="68">
        <f t="shared" si="947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8"/>
        <v>305</v>
      </c>
      <c r="DWQ11" s="68">
        <f t="shared" si="949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50"/>
        <v>330</v>
      </c>
      <c r="DWY11" s="68">
        <f t="shared" ref="DWY11:DWY21" si="1207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51"/>
        <v>330</v>
      </c>
      <c r="DXG11" s="68">
        <f t="shared" si="952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3"/>
        <v>572</v>
      </c>
      <c r="DXO11" s="68">
        <f t="shared" si="954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5"/>
        <v>328</v>
      </c>
      <c r="DXW11" s="68">
        <f t="shared" si="956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7"/>
        <v>446</v>
      </c>
      <c r="DYE11" s="68">
        <f t="shared" si="958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9"/>
        <v>336</v>
      </c>
      <c r="DYM11" s="68">
        <f t="shared" si="960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61"/>
        <v>199</v>
      </c>
      <c r="DYU11" s="68">
        <f t="shared" si="962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3"/>
        <v>483</v>
      </c>
      <c r="DZC11" s="68">
        <f t="shared" si="964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5"/>
        <v>0</v>
      </c>
      <c r="DZK11" s="68">
        <f t="shared" si="966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7"/>
        <v>330</v>
      </c>
      <c r="DZS11" s="68">
        <f t="shared" si="968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9"/>
        <v>216</v>
      </c>
      <c r="EAA11" s="68">
        <f t="shared" si="970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71"/>
        <v>504</v>
      </c>
      <c r="EAI11" s="68">
        <f t="shared" si="972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3"/>
        <v>228</v>
      </c>
      <c r="EAQ11" s="68">
        <f t="shared" ref="EAQ11:EAQ21" si="1208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4"/>
        <v>430</v>
      </c>
      <c r="EAY11" s="68">
        <f t="shared" si="975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6"/>
        <v>442</v>
      </c>
      <c r="EBG11" s="68">
        <f t="shared" si="977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8"/>
        <v>328</v>
      </c>
      <c r="EBO11" s="68">
        <f t="shared" si="1137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9"/>
        <v>220</v>
      </c>
      <c r="EBW11" s="68">
        <f t="shared" si="980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81"/>
        <v>434</v>
      </c>
      <c r="ECE11" s="68">
        <f t="shared" si="982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3"/>
        <v>440</v>
      </c>
      <c r="ECM11" s="68">
        <f t="shared" si="984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5"/>
        <v>221</v>
      </c>
      <c r="ECU11" s="68">
        <f t="shared" si="986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7"/>
        <v>437</v>
      </c>
      <c r="EDC11" s="68">
        <f t="shared" si="988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9"/>
        <v>110</v>
      </c>
      <c r="EDK11" s="68">
        <f t="shared" si="990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91"/>
        <v>484</v>
      </c>
      <c r="EDS11" s="184">
        <f t="shared" si="992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3"/>
        <v>112</v>
      </c>
      <c r="EEA11" s="184">
        <f t="shared" si="994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5"/>
        <v>483</v>
      </c>
      <c r="EEI11" s="68">
        <f t="shared" si="996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7"/>
        <v>225</v>
      </c>
      <c r="EEQ11" s="68">
        <f t="shared" si="998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9"/>
        <v>228</v>
      </c>
      <c r="EEY11" s="68">
        <f t="shared" si="1000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1001"/>
        <v>342</v>
      </c>
      <c r="EFG11" s="68">
        <f t="shared" si="1002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3"/>
        <v>113</v>
      </c>
      <c r="EFO11" s="68">
        <f t="shared" si="1004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5"/>
        <v>227</v>
      </c>
      <c r="EFW11" s="68">
        <f t="shared" si="1006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7"/>
        <v>336</v>
      </c>
      <c r="EGE11" s="68">
        <f t="shared" si="1008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9"/>
        <v>225</v>
      </c>
      <c r="EGM11" s="68">
        <f t="shared" si="1010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11"/>
        <v>441</v>
      </c>
      <c r="EGU11" s="68">
        <f t="shared" ref="EGU11:EGU21" si="1209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2"/>
        <v>220</v>
      </c>
      <c r="EHC11" s="68">
        <f t="shared" si="1013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4"/>
        <v>330</v>
      </c>
      <c r="EHK11" s="68">
        <f t="shared" si="1015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6"/>
        <v>329</v>
      </c>
      <c r="EHS11" s="68">
        <f t="shared" si="1017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8"/>
        <v>201</v>
      </c>
      <c r="EIA11" s="68">
        <f t="shared" si="1019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20"/>
        <v>330</v>
      </c>
      <c r="EII11" s="68">
        <f t="shared" si="1021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2"/>
        <v>110</v>
      </c>
      <c r="EIQ11" s="68">
        <f t="shared" si="1023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4"/>
        <v>444</v>
      </c>
      <c r="EIY11" s="68">
        <f t="shared" si="1025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6"/>
        <v>401</v>
      </c>
      <c r="EJG11" s="68">
        <f t="shared" si="1027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8"/>
        <v>0</v>
      </c>
      <c r="EJO11" s="68">
        <f t="shared" si="1029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30"/>
        <v>215</v>
      </c>
      <c r="EJW11" s="68">
        <f t="shared" si="1031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2"/>
        <v>416</v>
      </c>
      <c r="EKE11" s="68">
        <f t="shared" si="1033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4"/>
        <v>300</v>
      </c>
      <c r="EKM11" s="68">
        <f t="shared" si="1035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6"/>
        <v>476</v>
      </c>
      <c r="EKU11" s="184">
        <f t="shared" si="1037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8"/>
        <v>455</v>
      </c>
      <c r="ELD11" s="211">
        <f t="shared" si="1039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40"/>
        <v>220</v>
      </c>
      <c r="ELL11" s="211">
        <f t="shared" si="1041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2"/>
        <v>345</v>
      </c>
      <c r="ELT11" s="211">
        <f t="shared" si="1043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4"/>
        <v>330</v>
      </c>
      <c r="EMB11" s="211">
        <f t="shared" si="1045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6"/>
        <v>221</v>
      </c>
      <c r="EMJ11" s="211">
        <f t="shared" si="1047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8"/>
        <v>220</v>
      </c>
      <c r="EMR11" s="211">
        <f t="shared" si="1049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50"/>
        <v>440</v>
      </c>
      <c r="EMZ11" s="211">
        <f t="shared" si="1051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2"/>
        <v>143</v>
      </c>
      <c r="ENH11" s="211">
        <f t="shared" si="1053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4"/>
        <v>329</v>
      </c>
      <c r="ENP11" s="211">
        <f t="shared" si="1055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6"/>
        <v>456</v>
      </c>
      <c r="ENX11" s="211">
        <f t="shared" si="1057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8"/>
        <v>333</v>
      </c>
      <c r="EOF11" s="211">
        <f t="shared" si="1059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60"/>
        <v>0</v>
      </c>
      <c r="EON11" s="211">
        <f t="shared" si="1061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2"/>
        <v>220</v>
      </c>
      <c r="EOV11" s="211">
        <f t="shared" si="1063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4"/>
        <v>220</v>
      </c>
      <c r="EPD11" s="211">
        <f t="shared" si="1065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6"/>
        <v>330</v>
      </c>
      <c r="EPL11" s="211">
        <f t="shared" si="1067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8"/>
        <v>215</v>
      </c>
      <c r="EPT11" s="211">
        <f t="shared" si="1069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70"/>
        <v>220</v>
      </c>
      <c r="EQB11" s="211">
        <f t="shared" si="1071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2"/>
        <v>515</v>
      </c>
      <c r="EQJ11" s="211">
        <f t="shared" si="1073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4"/>
        <v>223</v>
      </c>
      <c r="EQR11" s="211">
        <f t="shared" si="1075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6"/>
        <v>219</v>
      </c>
      <c r="EQZ11" s="211">
        <f t="shared" si="1077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8"/>
        <v>221</v>
      </c>
      <c r="ERH11" s="211">
        <f t="shared" si="1079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80"/>
        <v>549</v>
      </c>
      <c r="ERP11" s="211">
        <f t="shared" si="1081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2"/>
        <v>219</v>
      </c>
      <c r="ERX11" s="211">
        <f t="shared" si="1083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4"/>
        <v>317</v>
      </c>
      <c r="ESF11" s="211">
        <f t="shared" si="1085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6"/>
        <v>600</v>
      </c>
      <c r="ESN11" s="211">
        <f t="shared" si="1087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8"/>
        <v>110</v>
      </c>
      <c r="ESV11" s="211">
        <f t="shared" si="1089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90"/>
        <v>220</v>
      </c>
      <c r="ETD11" s="211">
        <f t="shared" si="1091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2"/>
        <v>220</v>
      </c>
      <c r="ETL11" s="211">
        <f t="shared" si="1093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4"/>
        <v>176</v>
      </c>
      <c r="ETT11" s="211">
        <f t="shared" si="1095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6"/>
        <v>220</v>
      </c>
      <c r="EUB11" s="211">
        <f t="shared" si="1097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8"/>
        <v>0</v>
      </c>
      <c r="EUJ11" s="211">
        <f t="shared" si="1099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100"/>
        <v>439</v>
      </c>
      <c r="EUR11" s="211">
        <f t="shared" si="1101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2"/>
        <v>441</v>
      </c>
      <c r="EUZ11" s="211">
        <f t="shared" si="1103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4"/>
        <v>219</v>
      </c>
      <c r="EVH11" s="211">
        <f t="shared" si="1105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6"/>
        <v>200</v>
      </c>
      <c r="EVP11" s="211">
        <f t="shared" si="1107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8"/>
        <v>550</v>
      </c>
      <c r="EVX11" s="211">
        <f t="shared" si="1109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10"/>
        <v>662</v>
      </c>
      <c r="EWF11" s="211">
        <f t="shared" si="1111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2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3"/>
        <v>0</v>
      </c>
      <c r="EWV11" s="211">
        <f t="shared" si="1114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5"/>
        <v>0</v>
      </c>
      <c r="EXD11" s="211">
        <f t="shared" si="1116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7"/>
        <v>329</v>
      </c>
      <c r="EXL11" s="211">
        <f t="shared" si="1118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9"/>
        <v>922</v>
      </c>
      <c r="EXT11" s="211">
        <f t="shared" si="1120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21"/>
        <v>190</v>
      </c>
      <c r="EYB11" s="211">
        <f t="shared" si="1122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3"/>
        <v>440</v>
      </c>
      <c r="EYJ11" s="211">
        <f t="shared" si="1124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5"/>
        <v>219</v>
      </c>
      <c r="EYR11" s="211">
        <f t="shared" si="1126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7"/>
        <v>396</v>
      </c>
      <c r="EYZ11" s="873">
        <f t="shared" si="1128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9"/>
        <v>220</v>
      </c>
      <c r="EZH11" s="873">
        <f t="shared" si="1130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31"/>
        <v>320</v>
      </c>
      <c r="EZP11" s="873">
        <f t="shared" si="1132"/>
        <v>53.333333333333336</v>
      </c>
      <c r="EZQ11" s="458">
        <v>0</v>
      </c>
      <c r="EZR11" s="83"/>
      <c r="EZS11" s="83">
        <v>0</v>
      </c>
      <c r="EZT11" s="83"/>
      <c r="EZU11" s="83"/>
      <c r="EZV11" s="83">
        <v>0</v>
      </c>
      <c r="EZW11" s="872">
        <f t="shared" si="1133"/>
        <v>0</v>
      </c>
      <c r="EZX11" s="873">
        <f t="shared" si="1134"/>
        <v>0</v>
      </c>
      <c r="EZY11" s="195">
        <v>301</v>
      </c>
      <c r="EZZ11" s="49">
        <v>221</v>
      </c>
      <c r="FAA11" s="49"/>
      <c r="FAB11" s="49"/>
      <c r="FAC11" s="49"/>
      <c r="FAD11" s="49"/>
      <c r="FAE11" s="872">
        <f t="shared" si="1135"/>
        <v>522</v>
      </c>
      <c r="FAF11" s="873">
        <f t="shared" si="1136"/>
        <v>87</v>
      </c>
    </row>
    <row r="12" spans="1:4088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3031</v>
      </c>
      <c r="G12" s="24"/>
      <c r="H12" s="24"/>
      <c r="I12" s="360"/>
      <c r="J12" s="360">
        <f>SUMIF(SUMPK!$B:$B,$B:$B,SUMPK!$O:$O)</f>
        <v>443</v>
      </c>
      <c r="K12" s="24">
        <f t="shared" si="188"/>
        <v>0</v>
      </c>
      <c r="L12" s="24">
        <f t="shared" si="189"/>
        <v>2588</v>
      </c>
      <c r="M12" s="24">
        <f t="shared" si="190"/>
        <v>2588</v>
      </c>
      <c r="N12" s="15">
        <v>74.166666666666671</v>
      </c>
      <c r="O12" s="276">
        <f t="shared" si="191"/>
        <v>34.894382022471909</v>
      </c>
      <c r="P12" s="712">
        <v>306</v>
      </c>
      <c r="Q12" s="276">
        <f t="shared" si="192"/>
        <v>50.745098039215691</v>
      </c>
      <c r="R12" s="277">
        <f t="shared" si="193"/>
        <v>200</v>
      </c>
      <c r="S12" s="222">
        <v>5200</v>
      </c>
      <c r="T12" s="276">
        <f t="shared" si="194"/>
        <v>12.94</v>
      </c>
      <c r="U12" s="303"/>
      <c r="V12" s="302">
        <f t="shared" si="195"/>
        <v>12.94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43"/>
        <v>3324</v>
      </c>
      <c r="AK12" s="43">
        <f t="shared" si="1144"/>
        <v>554</v>
      </c>
      <c r="AL12" s="48"/>
      <c r="AM12" s="49"/>
      <c r="AN12" s="49">
        <v>601</v>
      </c>
      <c r="AO12" s="49"/>
      <c r="AP12" s="49"/>
      <c r="AQ12" s="49"/>
      <c r="AR12" s="42">
        <f t="shared" si="1145"/>
        <v>601</v>
      </c>
      <c r="AS12" s="43">
        <f t="shared" si="1146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7"/>
        <v>1999</v>
      </c>
      <c r="BA12" s="43">
        <f t="shared" si="1148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9"/>
        <v>4159</v>
      </c>
      <c r="BI12" s="43">
        <f t="shared" si="1150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51"/>
        <v>2567</v>
      </c>
      <c r="BQ12" s="43">
        <f t="shared" si="1152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53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54"/>
        <v>3157</v>
      </c>
      <c r="CG12" s="43">
        <f t="shared" si="1155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6"/>
        <v>3626</v>
      </c>
      <c r="CO12" s="43">
        <f t="shared" si="1157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8"/>
        <v>3163</v>
      </c>
      <c r="CW12" s="43">
        <f t="shared" si="1159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60"/>
        <v>752</v>
      </c>
      <c r="DE12" s="43">
        <f t="shared" si="1161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62"/>
        <v>2799</v>
      </c>
      <c r="DM12" s="43">
        <f t="shared" si="1163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64"/>
        <v>3016</v>
      </c>
      <c r="DU12" s="43">
        <f t="shared" si="1165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6"/>
        <v>3836</v>
      </c>
      <c r="EC12" s="43">
        <f t="shared" si="1167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8"/>
        <v>2162</v>
      </c>
      <c r="EK12" s="43">
        <f t="shared" si="1169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70"/>
        <v>2357</v>
      </c>
      <c r="ES12" s="43">
        <f t="shared" si="1171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72"/>
        <v>3925</v>
      </c>
      <c r="FA12" s="43">
        <f t="shared" si="1173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74"/>
        <v>2600</v>
      </c>
      <c r="FI12" s="43">
        <f t="shared" si="1175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6"/>
        <v>3798</v>
      </c>
      <c r="FQ12" s="43">
        <f t="shared" si="1177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8"/>
        <v>3593</v>
      </c>
      <c r="FY12" s="43">
        <f t="shared" si="1179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80"/>
        <v>3650</v>
      </c>
      <c r="GG12" s="43">
        <f t="shared" si="1181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82"/>
        <v>1566</v>
      </c>
      <c r="GO12" s="43">
        <f t="shared" si="1183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84"/>
        <v>3646</v>
      </c>
      <c r="GW12" s="43">
        <f t="shared" si="1185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6"/>
        <v>2900</v>
      </c>
      <c r="HE12" s="43">
        <f t="shared" si="1187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8"/>
        <v>1610</v>
      </c>
      <c r="HM12" s="43">
        <f t="shared" si="1189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90"/>
        <v>2824</v>
      </c>
      <c r="HU12" s="43">
        <f t="shared" si="1191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92"/>
        <v>2985</v>
      </c>
      <c r="IC12" s="43">
        <f t="shared" si="1193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94"/>
        <v>3159</v>
      </c>
      <c r="IK12" s="43">
        <f t="shared" si="1195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6"/>
        <v>1200</v>
      </c>
      <c r="IS12" s="68">
        <f t="shared" si="1197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8"/>
        <v>1884</v>
      </c>
      <c r="JA12" s="68">
        <f t="shared" si="1199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200"/>
        <v>2160</v>
      </c>
      <c r="JI12" s="68">
        <f t="shared" si="1201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202"/>
        <v>3958</v>
      </c>
      <c r="JQ12" s="43">
        <f t="shared" si="1203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204"/>
        <v>4152</v>
      </c>
      <c r="JY12" s="43">
        <f t="shared" si="1205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6"/>
        <v>3991</v>
      </c>
      <c r="KG12" s="43">
        <f t="shared" si="197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8"/>
        <v>1986</v>
      </c>
      <c r="KO12" s="68">
        <f t="shared" si="199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200"/>
        <v>4013</v>
      </c>
      <c r="KW12" s="68">
        <f t="shared" si="201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2"/>
        <v>2375</v>
      </c>
      <c r="LE12" s="68">
        <f t="shared" si="203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4"/>
        <v>2854</v>
      </c>
      <c r="LM12" s="68">
        <f t="shared" si="205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6"/>
        <v>5030</v>
      </c>
      <c r="LU12" s="68">
        <f t="shared" si="207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8"/>
        <v>789</v>
      </c>
      <c r="MC12" s="68">
        <f t="shared" si="209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10"/>
        <v>3356</v>
      </c>
      <c r="MK12" s="68">
        <f t="shared" si="211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2"/>
        <v>2786</v>
      </c>
      <c r="MS12" s="68">
        <f t="shared" si="213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4"/>
        <v>796</v>
      </c>
      <c r="NA12" s="68">
        <f t="shared" si="215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6"/>
        <v>2517</v>
      </c>
      <c r="NI12" s="68">
        <f t="shared" si="217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8"/>
        <v>4767</v>
      </c>
      <c r="NQ12" s="68">
        <f t="shared" si="219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20"/>
        <v>2343</v>
      </c>
      <c r="NY12" s="68">
        <f t="shared" si="221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2"/>
        <v>600</v>
      </c>
      <c r="OG12" s="68">
        <f t="shared" si="223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4"/>
        <v>1996</v>
      </c>
      <c r="OO12" s="68">
        <f t="shared" si="225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6"/>
        <v>2304</v>
      </c>
      <c r="OW12" s="68">
        <f t="shared" si="227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8"/>
        <v>4046</v>
      </c>
      <c r="PE12" s="68">
        <f t="shared" si="229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30"/>
        <v>800</v>
      </c>
      <c r="PM12" s="68">
        <f t="shared" si="231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2"/>
        <v>1968</v>
      </c>
      <c r="PU12" s="105">
        <f t="shared" si="233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4"/>
        <v>3612</v>
      </c>
      <c r="QC12" s="105">
        <f t="shared" si="235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6"/>
        <v>1600</v>
      </c>
      <c r="QK12" s="105">
        <f t="shared" si="237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8"/>
        <v>2400</v>
      </c>
      <c r="QS12" s="105">
        <f t="shared" si="239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40"/>
        <v>3184</v>
      </c>
      <c r="RA12" s="105">
        <f t="shared" si="241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2"/>
        <v>1427</v>
      </c>
      <c r="RI12" s="105">
        <f t="shared" si="243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4"/>
        <v>1949</v>
      </c>
      <c r="RQ12" s="105">
        <f t="shared" si="245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6"/>
        <v>3370</v>
      </c>
      <c r="RY12" s="105">
        <f t="shared" si="247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8"/>
        <v>405</v>
      </c>
      <c r="SG12" s="105">
        <f t="shared" si="249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50"/>
        <v>4855</v>
      </c>
      <c r="SO12" s="105">
        <f t="shared" si="251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2"/>
        <v>1600</v>
      </c>
      <c r="SW12" s="105">
        <f t="shared" si="253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4"/>
        <v>2375</v>
      </c>
      <c r="TE12" s="105">
        <f t="shared" si="255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6"/>
        <v>809</v>
      </c>
      <c r="TM12" s="105">
        <f t="shared" si="257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8"/>
        <v>2100</v>
      </c>
      <c r="TU12" s="105">
        <f t="shared" si="259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60"/>
        <v>2468</v>
      </c>
      <c r="UC12" s="105">
        <f t="shared" si="261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2"/>
        <v>2375</v>
      </c>
      <c r="UK12" s="105">
        <f t="shared" si="263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4"/>
        <v>400</v>
      </c>
      <c r="UT12" s="105">
        <f t="shared" si="265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6"/>
        <v>3585</v>
      </c>
      <c r="VB12" s="105">
        <f t="shared" si="267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8"/>
        <v>2604</v>
      </c>
      <c r="VJ12" s="105">
        <f t="shared" si="269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70"/>
        <v>901</v>
      </c>
      <c r="VR12" s="105">
        <f t="shared" si="271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2"/>
        <v>2200</v>
      </c>
      <c r="VZ12" s="105">
        <f t="shared" si="273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4"/>
        <v>1216</v>
      </c>
      <c r="WH12" s="68">
        <f t="shared" si="275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6"/>
        <v>2733</v>
      </c>
      <c r="WP12" s="68">
        <f t="shared" si="277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8"/>
        <v>1593</v>
      </c>
      <c r="WY12" s="68">
        <f t="shared" si="279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80"/>
        <v>2428</v>
      </c>
      <c r="XH12" s="68">
        <f t="shared" si="281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2"/>
        <v>1778</v>
      </c>
      <c r="XQ12" s="105">
        <f t="shared" si="283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4"/>
        <v>1212</v>
      </c>
      <c r="XZ12" s="68">
        <f t="shared" si="285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6"/>
        <v>2599</v>
      </c>
      <c r="YI12" s="68">
        <f t="shared" si="287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8"/>
        <v>1281</v>
      </c>
      <c r="YR12" s="68">
        <f t="shared" si="289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90"/>
        <v>2000</v>
      </c>
      <c r="YZ12" s="68">
        <f t="shared" si="291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2"/>
        <v>2002</v>
      </c>
      <c r="ZH12" s="68">
        <f t="shared" si="293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4"/>
        <v>2002</v>
      </c>
      <c r="ZP12" s="68">
        <f t="shared" si="295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6"/>
        <v>2015</v>
      </c>
      <c r="ZY12" s="68">
        <f t="shared" si="297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8"/>
        <v>3770</v>
      </c>
      <c r="AAH12" s="68">
        <f t="shared" si="299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300"/>
        <v>200</v>
      </c>
      <c r="AAP12" s="68">
        <f t="shared" si="301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2"/>
        <v>3213</v>
      </c>
      <c r="AAX12" s="68">
        <f t="shared" si="303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4"/>
        <v>1904</v>
      </c>
      <c r="ABF12" s="68">
        <f t="shared" si="305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6"/>
        <v>2568</v>
      </c>
      <c r="ABN12" s="68">
        <f t="shared" si="307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8"/>
        <v>3463</v>
      </c>
      <c r="ABV12" s="68">
        <f t="shared" si="309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10"/>
        <v>2146</v>
      </c>
      <c r="ACD12" s="68">
        <f t="shared" si="311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2"/>
        <v>440</v>
      </c>
      <c r="ACL12" s="68">
        <f t="shared" si="313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4"/>
        <v>2169</v>
      </c>
      <c r="ACT12" s="68">
        <f t="shared" si="315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6"/>
        <v>2636</v>
      </c>
      <c r="ADB12" s="68">
        <f t="shared" si="317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8"/>
        <v>2615</v>
      </c>
      <c r="ADJ12" s="68">
        <f t="shared" si="319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20"/>
        <v>2522</v>
      </c>
      <c r="ADR12" s="68">
        <f t="shared" si="321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2"/>
        <v>1561</v>
      </c>
      <c r="ADZ12" s="68">
        <f t="shared" si="323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4"/>
        <v>3500</v>
      </c>
      <c r="AEH12" s="68">
        <f t="shared" si="325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6"/>
        <v>1747</v>
      </c>
      <c r="AEP12" s="68">
        <f t="shared" si="327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8"/>
        <v>2107</v>
      </c>
      <c r="AEX12" s="68">
        <f t="shared" si="329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30"/>
        <v>1760</v>
      </c>
      <c r="AFF12" s="68">
        <f t="shared" si="331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2"/>
        <v>1868</v>
      </c>
      <c r="AFN12" s="68">
        <f t="shared" si="333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4"/>
        <v>1781</v>
      </c>
      <c r="AFV12" s="68">
        <f t="shared" si="335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6"/>
        <v>2620</v>
      </c>
      <c r="AGD12" s="68">
        <f t="shared" si="337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8"/>
        <v>1307</v>
      </c>
      <c r="AGL12" s="68">
        <f t="shared" si="339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40"/>
        <v>2158</v>
      </c>
      <c r="AGU12" s="68">
        <f t="shared" si="341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2"/>
        <v>770</v>
      </c>
      <c r="AHC12" s="68">
        <f t="shared" si="343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4"/>
        <v>1649</v>
      </c>
      <c r="AHK12" s="68">
        <f t="shared" si="345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6"/>
        <v>2277</v>
      </c>
      <c r="AHS12" s="68">
        <f t="shared" si="347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8"/>
        <v>2971</v>
      </c>
      <c r="AIA12" s="68">
        <f t="shared" si="349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50"/>
        <v>770</v>
      </c>
      <c r="AII12" s="68">
        <f t="shared" si="351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2"/>
        <v>1108</v>
      </c>
      <c r="AIQ12" s="68">
        <f t="shared" si="353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4"/>
        <v>4413</v>
      </c>
      <c r="AIY12" s="68">
        <f t="shared" si="355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6"/>
        <v>2168</v>
      </c>
      <c r="AJG12" s="68">
        <f t="shared" si="357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8"/>
        <v>844</v>
      </c>
      <c r="AJO12" s="43">
        <f t="shared" si="359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60"/>
        <v>3769</v>
      </c>
      <c r="AJW12" s="43">
        <f t="shared" si="361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2"/>
        <v>1770</v>
      </c>
      <c r="AKE12" s="68">
        <f t="shared" si="363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4"/>
        <v>1923</v>
      </c>
      <c r="AKM12" s="184">
        <f t="shared" si="365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6"/>
        <v>1650</v>
      </c>
      <c r="AKU12" s="184">
        <f t="shared" si="367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8"/>
        <v>2200</v>
      </c>
      <c r="ALC12" s="68">
        <f t="shared" si="369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70"/>
        <v>1650</v>
      </c>
      <c r="ALK12" s="68">
        <f t="shared" si="371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2"/>
        <v>2173</v>
      </c>
      <c r="ALS12" s="68">
        <f t="shared" si="373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4"/>
        <v>1527</v>
      </c>
      <c r="AMA12" s="68">
        <f t="shared" si="375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6"/>
        <v>1014</v>
      </c>
      <c r="AMI12" s="68">
        <f t="shared" si="377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8"/>
        <v>1298</v>
      </c>
      <c r="AMQ12" s="68">
        <f t="shared" si="379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80"/>
        <v>2148</v>
      </c>
      <c r="AMY12" s="68">
        <f t="shared" si="381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2"/>
        <v>470</v>
      </c>
      <c r="ANG12" s="68">
        <f t="shared" si="383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4"/>
        <v>616</v>
      </c>
      <c r="ANO12" s="68">
        <f t="shared" si="385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6"/>
        <v>1520</v>
      </c>
      <c r="ANW12" s="68">
        <f t="shared" si="387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8"/>
        <v>2318</v>
      </c>
      <c r="AOE12" s="68">
        <f t="shared" si="389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90"/>
        <v>2095</v>
      </c>
      <c r="AOM12" s="68">
        <f t="shared" si="391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2"/>
        <v>2420</v>
      </c>
      <c r="AOU12" s="68">
        <f t="shared" si="393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4"/>
        <v>2194</v>
      </c>
      <c r="APC12" s="68">
        <f t="shared" si="395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6"/>
        <v>550</v>
      </c>
      <c r="APK12" s="68">
        <f t="shared" si="397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8"/>
        <v>330</v>
      </c>
      <c r="APS12" s="68">
        <f t="shared" si="399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400"/>
        <v>456</v>
      </c>
      <c r="AQA12" s="68">
        <f t="shared" si="401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2"/>
        <v>3080</v>
      </c>
      <c r="AQI12" s="68">
        <f t="shared" si="403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4"/>
        <v>1367</v>
      </c>
      <c r="AQQ12" s="68">
        <f t="shared" si="405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6"/>
        <v>2200</v>
      </c>
      <c r="AQY12" s="68">
        <f t="shared" si="407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8"/>
        <v>2820</v>
      </c>
      <c r="ARG12" s="68">
        <f t="shared" si="409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10"/>
        <v>837</v>
      </c>
      <c r="ARO12" s="68">
        <f t="shared" si="411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2"/>
        <v>880</v>
      </c>
      <c r="ARW12" s="68">
        <f t="shared" si="413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4"/>
        <v>1100</v>
      </c>
      <c r="ASE12" s="68">
        <f t="shared" si="415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6"/>
        <v>1760</v>
      </c>
      <c r="ASM12" s="68">
        <f t="shared" si="417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8"/>
        <v>2665</v>
      </c>
      <c r="ASU12" s="68">
        <f t="shared" si="419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20"/>
        <v>1487</v>
      </c>
      <c r="ATC12" s="68">
        <f t="shared" si="421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2"/>
        <v>660</v>
      </c>
      <c r="ATK12" s="68">
        <f t="shared" si="423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4"/>
        <v>1320</v>
      </c>
      <c r="ATS12" s="68">
        <f t="shared" si="425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6"/>
        <v>2200</v>
      </c>
      <c r="AUA12" s="68">
        <f t="shared" si="427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8"/>
        <v>1760</v>
      </c>
      <c r="AUI12" s="68">
        <f t="shared" si="429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30"/>
        <v>880</v>
      </c>
      <c r="AUQ12" s="68">
        <f t="shared" si="431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2"/>
        <v>1760</v>
      </c>
      <c r="AUY12" s="68">
        <f t="shared" si="433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4"/>
        <v>1430</v>
      </c>
      <c r="AVG12" s="68">
        <f t="shared" si="435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6"/>
        <v>1213</v>
      </c>
      <c r="AVO12" s="68">
        <f t="shared" si="437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8"/>
        <v>1756</v>
      </c>
      <c r="AVW12" s="68">
        <f t="shared" si="439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40"/>
        <v>1469</v>
      </c>
      <c r="AWE12" s="68">
        <f t="shared" si="441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2"/>
        <v>1320</v>
      </c>
      <c r="AWM12" s="68">
        <f t="shared" si="443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4"/>
        <v>1760</v>
      </c>
      <c r="AWU12" s="43">
        <f t="shared" si="445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6"/>
        <v>1650</v>
      </c>
      <c r="AXC12" s="43">
        <f t="shared" si="447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8"/>
        <v>1322</v>
      </c>
      <c r="AXK12" s="43">
        <f t="shared" si="449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50"/>
        <v>1980</v>
      </c>
      <c r="AXS12" s="43">
        <f t="shared" si="451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2"/>
        <v>1769</v>
      </c>
      <c r="AYA12" s="43">
        <f t="shared" si="453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4"/>
        <v>1769</v>
      </c>
      <c r="AYI12" s="43">
        <f t="shared" si="455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6"/>
        <v>1656</v>
      </c>
      <c r="AYQ12" s="43">
        <f t="shared" si="457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8"/>
        <v>881</v>
      </c>
      <c r="AYY12" s="43">
        <f t="shared" si="459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60"/>
        <v>929</v>
      </c>
      <c r="AZG12" s="43">
        <f t="shared" si="461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2"/>
        <v>897</v>
      </c>
      <c r="AZO12" s="43">
        <f t="shared" si="463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4"/>
        <v>2661</v>
      </c>
      <c r="AZW12" s="43">
        <f t="shared" si="465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6"/>
        <v>453</v>
      </c>
      <c r="BAE12" s="43">
        <f t="shared" si="467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8"/>
        <v>1760</v>
      </c>
      <c r="BAM12" s="43">
        <f t="shared" si="469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70"/>
        <v>880</v>
      </c>
      <c r="BAU12" s="43">
        <f t="shared" si="471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2"/>
        <v>440</v>
      </c>
      <c r="BBC12" s="43">
        <f t="shared" si="473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4"/>
        <v>1622</v>
      </c>
      <c r="BBK12" s="43">
        <f t="shared" si="475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6"/>
        <v>1391</v>
      </c>
      <c r="BBS12" s="43">
        <f t="shared" si="477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8"/>
        <v>2564</v>
      </c>
      <c r="BCA12" s="43">
        <f t="shared" si="479"/>
        <v>427.33333333333331</v>
      </c>
      <c r="BCB12" s="48"/>
      <c r="BCC12" s="49"/>
      <c r="BCD12" s="49"/>
      <c r="BCE12" s="49"/>
      <c r="BCF12" s="49"/>
      <c r="BCG12" s="49"/>
      <c r="BCH12" s="42">
        <f t="shared" si="480"/>
        <v>0</v>
      </c>
      <c r="BCI12" s="43">
        <f t="shared" si="481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2"/>
        <v>902</v>
      </c>
      <c r="BCQ12" s="43">
        <f t="shared" si="483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4"/>
        <v>921</v>
      </c>
      <c r="BCY12" s="43">
        <f t="shared" si="485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6"/>
        <v>440</v>
      </c>
      <c r="BDG12" s="43">
        <f t="shared" si="487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8"/>
        <v>433</v>
      </c>
      <c r="BDO12" s="43">
        <f t="shared" si="489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90"/>
        <v>2712</v>
      </c>
      <c r="BDW12" s="43">
        <f t="shared" si="491"/>
        <v>452</v>
      </c>
      <c r="BDX12" s="48"/>
      <c r="BDY12" s="49"/>
      <c r="BDZ12" s="49"/>
      <c r="BEA12" s="49"/>
      <c r="BEB12" s="49"/>
      <c r="BEC12" s="49"/>
      <c r="BED12" s="42">
        <f t="shared" si="492"/>
        <v>0</v>
      </c>
      <c r="BEE12" s="43">
        <f t="shared" si="493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4"/>
        <v>660</v>
      </c>
      <c r="BEM12" s="43">
        <f t="shared" si="495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6"/>
        <v>880</v>
      </c>
      <c r="BEU12" s="43">
        <f t="shared" si="497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8"/>
        <v>1629</v>
      </c>
      <c r="BFC12" s="43">
        <f t="shared" si="499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500"/>
        <v>1353</v>
      </c>
      <c r="BFK12" s="43">
        <f t="shared" si="501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2"/>
        <v>550</v>
      </c>
      <c r="BFS12" s="43">
        <f t="shared" si="503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4"/>
        <v>1291</v>
      </c>
      <c r="BGA12" s="43">
        <f t="shared" si="505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6"/>
        <v>1700</v>
      </c>
      <c r="BGI12" s="43">
        <f t="shared" si="507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8"/>
        <v>795</v>
      </c>
      <c r="BGQ12" s="43">
        <f t="shared" si="509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10"/>
        <v>1362</v>
      </c>
      <c r="BGY12" s="43">
        <f t="shared" si="511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2"/>
        <v>1546</v>
      </c>
      <c r="BHG12" s="43">
        <f t="shared" si="513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4"/>
        <v>1320</v>
      </c>
      <c r="BHO12" s="43">
        <f t="shared" si="515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6"/>
        <v>1658</v>
      </c>
      <c r="BHW12" s="43">
        <f t="shared" si="517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8"/>
        <v>842</v>
      </c>
      <c r="BIE12" s="43">
        <f t="shared" si="519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20"/>
        <v>440</v>
      </c>
      <c r="BIM12" s="43">
        <f t="shared" si="521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2"/>
        <v>1839</v>
      </c>
      <c r="BIU12" s="43">
        <f t="shared" si="523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4"/>
        <v>892</v>
      </c>
      <c r="BJC12" s="43">
        <f t="shared" si="525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6"/>
        <v>862</v>
      </c>
      <c r="BJK12" s="43">
        <f t="shared" si="527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8"/>
        <v>701</v>
      </c>
      <c r="BJS12" s="43">
        <f t="shared" si="529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30"/>
        <v>2222</v>
      </c>
      <c r="BKA12" s="43">
        <f t="shared" si="531"/>
        <v>444.4</v>
      </c>
      <c r="BKB12" s="48"/>
      <c r="BKC12" s="49"/>
      <c r="BKD12" s="49"/>
      <c r="BKE12" s="49"/>
      <c r="BKF12" s="49"/>
      <c r="BKG12" s="49"/>
      <c r="BKH12" s="67">
        <f t="shared" si="532"/>
        <v>0</v>
      </c>
      <c r="BKI12" s="68">
        <f t="shared" si="533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4"/>
        <v>852</v>
      </c>
      <c r="BKQ12" s="43">
        <f t="shared" si="535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6"/>
        <v>684</v>
      </c>
      <c r="BKY12" s="43">
        <f t="shared" si="537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8"/>
        <v>1519</v>
      </c>
      <c r="BLG12" s="43">
        <f t="shared" si="539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40"/>
        <v>219</v>
      </c>
      <c r="BLO12" s="43">
        <f t="shared" si="541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2"/>
        <v>1750</v>
      </c>
      <c r="BLW12" s="43">
        <f t="shared" si="543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4"/>
        <v>1147</v>
      </c>
      <c r="BME12" s="43">
        <f t="shared" si="545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6"/>
        <v>440</v>
      </c>
      <c r="BMM12" s="43">
        <f t="shared" si="547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8"/>
        <v>1784</v>
      </c>
      <c r="BMU12" s="43">
        <f t="shared" si="549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50"/>
        <v>832</v>
      </c>
      <c r="BNC12" s="43">
        <f t="shared" si="551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2"/>
        <v>1278</v>
      </c>
      <c r="BNK12" s="43">
        <f t="shared" si="553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4"/>
        <v>1627</v>
      </c>
      <c r="BNS12" s="43">
        <f t="shared" si="555"/>
        <v>271.16666666666669</v>
      </c>
      <c r="BNT12" s="48"/>
      <c r="BNU12" s="49"/>
      <c r="BNV12" s="49"/>
      <c r="BNW12" s="49"/>
      <c r="BNX12" s="49"/>
      <c r="BNY12" s="49"/>
      <c r="BNZ12" s="42">
        <f t="shared" si="556"/>
        <v>0</v>
      </c>
      <c r="BOA12" s="43">
        <f t="shared" si="557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8"/>
        <v>1857</v>
      </c>
      <c r="BOI12" s="43">
        <f t="shared" si="559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60"/>
        <v>948</v>
      </c>
      <c r="BOQ12" s="43">
        <f t="shared" si="561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2"/>
        <v>1699</v>
      </c>
      <c r="BOY12" s="43">
        <f t="shared" si="563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4"/>
        <v>1500</v>
      </c>
      <c r="BPG12" s="43">
        <f t="shared" si="565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6"/>
        <v>749</v>
      </c>
      <c r="BPO12" s="43">
        <f t="shared" si="567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8"/>
        <v>1311</v>
      </c>
      <c r="BPW12" s="43">
        <f t="shared" si="569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70"/>
        <v>1833</v>
      </c>
      <c r="BQE12" s="43">
        <f t="shared" si="571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2"/>
        <v>604</v>
      </c>
      <c r="BQM12" s="43">
        <f t="shared" si="573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4"/>
        <v>2055</v>
      </c>
      <c r="BQU12" s="43">
        <f t="shared" si="575"/>
        <v>342.5</v>
      </c>
      <c r="BQV12" s="48"/>
      <c r="BQW12" s="49"/>
      <c r="BQX12" s="49"/>
      <c r="BQY12" s="49"/>
      <c r="BQZ12" s="49"/>
      <c r="BRA12" s="49"/>
      <c r="BRB12" s="67">
        <f t="shared" si="576"/>
        <v>0</v>
      </c>
      <c r="BRC12" s="43">
        <f t="shared" si="577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8"/>
        <v>1243</v>
      </c>
      <c r="BRK12" s="43">
        <f t="shared" si="579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80"/>
        <v>1615</v>
      </c>
      <c r="BRS12" s="68">
        <f t="shared" si="581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2"/>
        <v>613</v>
      </c>
      <c r="BSA12" s="43">
        <f t="shared" si="583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4"/>
        <v>1239</v>
      </c>
      <c r="BSI12" s="43">
        <f t="shared" si="585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6"/>
        <v>1259</v>
      </c>
      <c r="BSQ12" s="43">
        <f t="shared" si="587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8"/>
        <v>1588</v>
      </c>
      <c r="BSY12" s="43">
        <f t="shared" si="589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90"/>
        <v>2061</v>
      </c>
      <c r="BTG12" s="43">
        <f t="shared" si="591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2"/>
        <v>460</v>
      </c>
      <c r="BTO12" s="68">
        <f t="shared" si="593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4"/>
        <v>440</v>
      </c>
      <c r="BTW12" s="43">
        <f t="shared" si="595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6"/>
        <v>1320</v>
      </c>
      <c r="BUE12" s="68">
        <f t="shared" si="597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8"/>
        <v>1843</v>
      </c>
      <c r="BUM12" s="68">
        <f t="shared" si="599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600"/>
        <v>1598</v>
      </c>
      <c r="BUU12" s="68">
        <f t="shared" si="601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2"/>
        <v>2001</v>
      </c>
      <c r="BVC12" s="68">
        <f t="shared" si="603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4"/>
        <v>317</v>
      </c>
      <c r="BVK12" s="68">
        <f t="shared" si="605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6"/>
        <v>1099</v>
      </c>
      <c r="BVS12" s="68">
        <f t="shared" si="607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8"/>
        <v>2572</v>
      </c>
      <c r="BWA12" s="68">
        <f t="shared" si="609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10"/>
        <v>988</v>
      </c>
      <c r="BWI12" s="68">
        <f t="shared" si="611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2"/>
        <v>800</v>
      </c>
      <c r="BWQ12" s="68">
        <f t="shared" si="613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4"/>
        <v>1731</v>
      </c>
      <c r="BWY12" s="68">
        <f t="shared" si="615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6"/>
        <v>1318</v>
      </c>
      <c r="BXG12" s="68">
        <f t="shared" si="617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8"/>
        <v>1336</v>
      </c>
      <c r="BXO12" s="68">
        <f t="shared" si="619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20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21"/>
        <v>989</v>
      </c>
      <c r="BYE12" s="68">
        <f t="shared" si="622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3"/>
        <v>1271</v>
      </c>
      <c r="BYM12" s="68">
        <f t="shared" si="624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5"/>
        <v>2187</v>
      </c>
      <c r="BYU12" s="68">
        <f t="shared" si="626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7"/>
        <v>802</v>
      </c>
      <c r="BZC12" s="68">
        <f t="shared" si="628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9"/>
        <v>1826</v>
      </c>
      <c r="BZK12" s="68">
        <f t="shared" si="630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31"/>
        <v>1560</v>
      </c>
      <c r="BZS12" s="68">
        <f t="shared" si="632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3"/>
        <v>1087</v>
      </c>
      <c r="CAA12" s="68">
        <f t="shared" si="634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5"/>
        <v>1200</v>
      </c>
      <c r="CAI12" s="68">
        <f t="shared" si="636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7"/>
        <v>2017</v>
      </c>
      <c r="CAQ12" s="68">
        <f t="shared" si="638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9"/>
        <v>2261</v>
      </c>
      <c r="CAY12" s="68">
        <f t="shared" si="640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41"/>
        <v>1320</v>
      </c>
      <c r="CBG12" s="68">
        <f t="shared" si="642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3"/>
        <v>2310</v>
      </c>
      <c r="CBO12" s="68">
        <f t="shared" si="644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5"/>
        <v>1622</v>
      </c>
      <c r="CBW12" s="68">
        <f t="shared" si="646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7"/>
        <v>2095</v>
      </c>
      <c r="CCE12" s="68">
        <f t="shared" si="648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9"/>
        <v>2442</v>
      </c>
      <c r="CCM12" s="68">
        <f t="shared" si="650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51"/>
        <v>746</v>
      </c>
      <c r="CCU12" s="68">
        <f t="shared" si="652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3"/>
        <v>609</v>
      </c>
      <c r="CDC12" s="68">
        <f t="shared" si="654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5"/>
        <v>2503</v>
      </c>
      <c r="CDK12" s="68">
        <f t="shared" si="656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7"/>
        <v>2341</v>
      </c>
      <c r="CDS12" s="68">
        <f t="shared" si="658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9"/>
        <v>2220</v>
      </c>
      <c r="CEA12" s="68">
        <f t="shared" si="660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61"/>
        <v>1228</v>
      </c>
      <c r="CEI12" s="68">
        <f t="shared" si="662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3"/>
        <v>3012</v>
      </c>
      <c r="CEQ12" s="68">
        <f t="shared" si="664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5"/>
        <v>2089</v>
      </c>
      <c r="CEY12" s="68">
        <f t="shared" si="666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7"/>
        <v>1836</v>
      </c>
      <c r="CFG12" s="68">
        <f t="shared" si="668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9"/>
        <v>1997</v>
      </c>
      <c r="CFO12" s="68">
        <f t="shared" si="670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71"/>
        <v>2091</v>
      </c>
      <c r="CFW12" s="68">
        <f t="shared" si="672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3"/>
        <v>3113</v>
      </c>
      <c r="CGE12" s="68">
        <f t="shared" si="674"/>
        <v>518.83333333333337</v>
      </c>
      <c r="CGF12" s="48"/>
      <c r="CGG12" s="49"/>
      <c r="CGH12" s="49"/>
      <c r="CGI12" s="49"/>
      <c r="CGJ12" s="49"/>
      <c r="CGK12" s="49"/>
      <c r="CGL12" s="67">
        <f t="shared" si="675"/>
        <v>0</v>
      </c>
      <c r="CGM12" s="68">
        <f t="shared" si="676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7"/>
        <v>2229</v>
      </c>
      <c r="CGU12" s="68">
        <f t="shared" si="678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9"/>
        <v>1472</v>
      </c>
      <c r="CHC12" s="68">
        <f t="shared" si="680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81"/>
        <v>2361</v>
      </c>
      <c r="CHK12" s="68">
        <f t="shared" si="682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3"/>
        <v>1363</v>
      </c>
      <c r="CHS12" s="68">
        <f t="shared" si="684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5"/>
        <v>2192</v>
      </c>
      <c r="CIA12" s="68">
        <f t="shared" si="686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7"/>
        <v>3688</v>
      </c>
      <c r="CII12" s="68">
        <f t="shared" si="688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9"/>
        <v>1759</v>
      </c>
      <c r="CIQ12" s="68">
        <f t="shared" si="690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91"/>
        <v>1039</v>
      </c>
      <c r="CIY12" s="68">
        <f t="shared" si="692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3"/>
        <v>2511</v>
      </c>
      <c r="CJG12" s="68">
        <f t="shared" si="1206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4"/>
        <v>2566</v>
      </c>
      <c r="CJO12" s="68">
        <f t="shared" si="695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6"/>
        <v>440</v>
      </c>
      <c r="CJW12" s="68">
        <f t="shared" si="697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8"/>
        <v>1799</v>
      </c>
      <c r="CKE12" s="68">
        <f t="shared" si="699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700"/>
        <v>4289</v>
      </c>
      <c r="CKM12" s="68">
        <f t="shared" si="701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2"/>
        <v>337</v>
      </c>
      <c r="CKU12" s="68">
        <f t="shared" si="703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4"/>
        <v>1977</v>
      </c>
      <c r="CLC12" s="68">
        <f t="shared" si="705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6"/>
        <v>1204</v>
      </c>
      <c r="CLK12" s="68">
        <f t="shared" si="707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8"/>
        <v>1999</v>
      </c>
      <c r="CLS12" s="68">
        <f t="shared" si="709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10"/>
        <v>889</v>
      </c>
      <c r="CMA12" s="68">
        <f t="shared" si="711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2"/>
        <v>1855</v>
      </c>
      <c r="CMI12" s="68">
        <f t="shared" si="713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4"/>
        <v>1324</v>
      </c>
      <c r="CMQ12" s="68">
        <f t="shared" si="715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6"/>
        <v>2239</v>
      </c>
      <c r="CMY12" s="68">
        <f t="shared" si="717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8"/>
        <v>1531</v>
      </c>
      <c r="CNG12" s="68">
        <f t="shared" si="719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20"/>
        <v>3366</v>
      </c>
      <c r="CNO12" s="68">
        <f t="shared" si="721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2"/>
        <v>1216</v>
      </c>
      <c r="CNW12" s="68">
        <f t="shared" si="723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4"/>
        <v>1463</v>
      </c>
      <c r="COE12" s="68">
        <f t="shared" si="725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6"/>
        <v>1395</v>
      </c>
      <c r="COM12" s="68">
        <f t="shared" si="727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8"/>
        <v>1857</v>
      </c>
      <c r="COU12" s="68">
        <f t="shared" si="729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30"/>
        <v>1673</v>
      </c>
      <c r="CPC12" s="68">
        <f t="shared" si="731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2"/>
        <v>1753</v>
      </c>
      <c r="CPK12" s="68">
        <f t="shared" si="733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4"/>
        <v>428</v>
      </c>
      <c r="CPS12" s="68">
        <f t="shared" si="735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6"/>
        <v>2049</v>
      </c>
      <c r="CQA12" s="68">
        <f t="shared" si="737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8"/>
        <v>1843</v>
      </c>
      <c r="CQI12" s="68">
        <f t="shared" si="739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40"/>
        <v>1352</v>
      </c>
      <c r="CQQ12" s="68">
        <f t="shared" si="741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2"/>
        <v>1552</v>
      </c>
      <c r="CQY12" s="68">
        <f t="shared" si="743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4"/>
        <v>836</v>
      </c>
      <c r="CRG12" s="68">
        <f t="shared" si="745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6"/>
        <v>1849</v>
      </c>
      <c r="CRO12" s="68">
        <f t="shared" si="747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8"/>
        <v>1506</v>
      </c>
      <c r="CRW12" s="68">
        <f t="shared" si="749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50"/>
        <v>2681</v>
      </c>
      <c r="CSE12" s="68">
        <f t="shared" si="751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2"/>
        <v>0</v>
      </c>
      <c r="CSM12" s="68">
        <f t="shared" si="753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4"/>
        <v>1541</v>
      </c>
      <c r="CSU12" s="68">
        <f t="shared" si="755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6"/>
        <v>1540</v>
      </c>
      <c r="CTC12" s="68">
        <f t="shared" si="757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8"/>
        <v>819</v>
      </c>
      <c r="CTK12" s="68">
        <f t="shared" si="759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60"/>
        <v>1050</v>
      </c>
      <c r="CTS12" s="68">
        <f t="shared" si="761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2"/>
        <v>3311</v>
      </c>
      <c r="CUA12" s="68">
        <f t="shared" si="763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4"/>
        <v>849</v>
      </c>
      <c r="CUI12" s="68">
        <f t="shared" si="765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6"/>
        <v>1770</v>
      </c>
      <c r="CUQ12" s="68">
        <f t="shared" si="767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8"/>
        <v>438</v>
      </c>
      <c r="CUY12" s="68">
        <f t="shared" si="769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70"/>
        <v>1555</v>
      </c>
      <c r="CVG12" s="68">
        <f t="shared" si="771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2"/>
        <v>1884</v>
      </c>
      <c r="CVO12" s="68">
        <f t="shared" si="773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4"/>
        <v>429</v>
      </c>
      <c r="CVW12" s="68">
        <f t="shared" si="775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6"/>
        <v>2542</v>
      </c>
      <c r="CWE12" s="68">
        <f t="shared" si="777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8"/>
        <v>444</v>
      </c>
      <c r="CWM12" s="68">
        <f t="shared" si="779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80"/>
        <v>1431</v>
      </c>
      <c r="CWU12" s="68">
        <f t="shared" si="781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2"/>
        <v>1942</v>
      </c>
      <c r="CXC12" s="43">
        <f t="shared" si="783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4"/>
        <v>1243</v>
      </c>
      <c r="CXK12" s="43">
        <f t="shared" si="785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6"/>
        <v>2067</v>
      </c>
      <c r="CXS12" s="43">
        <f t="shared" si="787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8"/>
        <v>1997</v>
      </c>
      <c r="CYA12" s="43">
        <f t="shared" si="789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90"/>
        <v>1745</v>
      </c>
      <c r="CYI12" s="43">
        <f t="shared" si="791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2"/>
        <v>891</v>
      </c>
      <c r="CYQ12" s="43">
        <f t="shared" si="793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4"/>
        <v>1538</v>
      </c>
      <c r="CYY12" s="43">
        <f t="shared" si="795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6"/>
        <v>880</v>
      </c>
      <c r="CZG12" s="43">
        <f t="shared" si="797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8"/>
        <v>1984</v>
      </c>
      <c r="CZO12" s="43">
        <f t="shared" si="799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800"/>
        <v>1556</v>
      </c>
      <c r="CZW12" s="43">
        <f t="shared" si="801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2"/>
        <v>1798</v>
      </c>
      <c r="DAE12" s="68">
        <f t="shared" si="803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4"/>
        <v>1541</v>
      </c>
      <c r="DAM12" s="68">
        <f t="shared" si="805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6"/>
        <v>699</v>
      </c>
      <c r="DAU12" s="68">
        <f t="shared" si="807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8"/>
        <v>1314</v>
      </c>
      <c r="DBC12" s="68">
        <f t="shared" si="809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10"/>
        <v>1333</v>
      </c>
      <c r="DBK12" s="68">
        <f t="shared" si="811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2"/>
        <v>440</v>
      </c>
      <c r="DBS12" s="68">
        <f t="shared" si="813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4"/>
        <v>1421</v>
      </c>
      <c r="DCA12" s="68">
        <f t="shared" si="815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6"/>
        <v>1230</v>
      </c>
      <c r="DCI12" s="68">
        <f t="shared" si="817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8"/>
        <v>1438</v>
      </c>
      <c r="DCQ12" s="68">
        <f t="shared" si="819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20"/>
        <v>1158</v>
      </c>
      <c r="DCY12" s="68">
        <f t="shared" si="821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2"/>
        <v>1433</v>
      </c>
      <c r="DDG12" s="68">
        <f t="shared" si="823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4"/>
        <v>1624</v>
      </c>
      <c r="DDO12" s="43">
        <f t="shared" si="825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6"/>
        <v>673</v>
      </c>
      <c r="DDW12" s="43">
        <f t="shared" si="827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8"/>
        <v>1266</v>
      </c>
      <c r="DEE12" s="43">
        <f t="shared" si="829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30"/>
        <v>1623</v>
      </c>
      <c r="DEM12" s="43">
        <f t="shared" si="831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2"/>
        <v>1731</v>
      </c>
      <c r="DEU12" s="43">
        <f t="shared" si="833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4"/>
        <v>1098</v>
      </c>
      <c r="DFC12" s="43">
        <f t="shared" si="835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6"/>
        <v>1786</v>
      </c>
      <c r="DFK12" s="43">
        <f t="shared" si="837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8"/>
        <v>1128</v>
      </c>
      <c r="DFS12" s="68">
        <f t="shared" si="839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40"/>
        <v>1082</v>
      </c>
      <c r="DGA12" s="43">
        <f t="shared" si="841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2"/>
        <v>1231</v>
      </c>
      <c r="DGI12" s="43">
        <f t="shared" si="843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4"/>
        <v>1354</v>
      </c>
      <c r="DGQ12" s="68">
        <f t="shared" si="845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6"/>
        <v>1338</v>
      </c>
      <c r="DGY12" s="68">
        <f t="shared" si="847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8"/>
        <v>1559</v>
      </c>
      <c r="DHG12" s="68">
        <f t="shared" si="849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50"/>
        <v>870</v>
      </c>
      <c r="DHO12" s="68">
        <f t="shared" si="851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2"/>
        <v>1767</v>
      </c>
      <c r="DHW12" s="68">
        <f t="shared" si="853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4"/>
        <v>1077</v>
      </c>
      <c r="DIE12" s="68">
        <f t="shared" si="855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6"/>
        <v>439</v>
      </c>
      <c r="DIM12" s="68">
        <f t="shared" si="857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8"/>
        <v>941</v>
      </c>
      <c r="DIU12" s="68">
        <f t="shared" si="859"/>
        <v>156.83333333333334</v>
      </c>
      <c r="DIV12" s="48">
        <f>SUMIF(SUMPK!$B:$B,$B:$B,SUMPK!$O:$O)</f>
        <v>443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60"/>
        <v>1545</v>
      </c>
      <c r="DJC12" s="68">
        <f t="shared" si="861"/>
        <v>257.5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2"/>
        <v>1062</v>
      </c>
      <c r="DJK12" s="68">
        <f t="shared" si="863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4"/>
        <v>1408</v>
      </c>
      <c r="DJS12" s="68">
        <f t="shared" si="865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6"/>
        <v>806</v>
      </c>
      <c r="DKA12" s="68">
        <f t="shared" si="867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8"/>
        <v>1969</v>
      </c>
      <c r="DKI12" s="68">
        <f t="shared" si="869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70"/>
        <v>1211</v>
      </c>
      <c r="DKQ12" s="68">
        <f t="shared" si="871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2"/>
        <v>1285</v>
      </c>
      <c r="DKY12" s="68">
        <f t="shared" si="873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4"/>
        <v>1053</v>
      </c>
      <c r="DLG12" s="68">
        <f t="shared" si="875"/>
        <v>175.5</v>
      </c>
      <c r="DLH12" s="48"/>
      <c r="DLI12" s="49">
        <v>902</v>
      </c>
      <c r="DLJ12" s="49">
        <v>0</v>
      </c>
      <c r="DLK12" s="49">
        <f>SUMIF(SUMPK!$B:$B,$B:$B,SUMPK!$O:$O)</f>
        <v>443</v>
      </c>
      <c r="DLL12" s="49"/>
      <c r="DLM12" s="49">
        <v>440</v>
      </c>
      <c r="DLN12" s="64">
        <f t="shared" si="876"/>
        <v>1785</v>
      </c>
      <c r="DLO12" s="68">
        <f t="shared" si="877"/>
        <v>297.5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8"/>
        <v>1079</v>
      </c>
      <c r="DLW12" s="68">
        <f t="shared" si="879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80"/>
        <v>1567</v>
      </c>
      <c r="DME12" s="68">
        <f t="shared" si="881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2"/>
        <v>449</v>
      </c>
      <c r="DMM12" s="68">
        <f t="shared" si="883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4"/>
        <v>1944</v>
      </c>
      <c r="DMU12" s="68">
        <f t="shared" si="885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6"/>
        <v>1774</v>
      </c>
      <c r="DNC12" s="68">
        <f t="shared" si="887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8"/>
        <v>1651</v>
      </c>
      <c r="DNK12" s="68">
        <f t="shared" si="889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90"/>
        <v>875</v>
      </c>
      <c r="DNS12" s="68">
        <f t="shared" si="891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2"/>
        <v>1524</v>
      </c>
      <c r="DOA12" s="68">
        <f t="shared" si="893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4"/>
        <v>1648</v>
      </c>
      <c r="DOI12" s="68">
        <f t="shared" si="895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6"/>
        <v>1000</v>
      </c>
      <c r="DOQ12" s="68">
        <f t="shared" si="897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8"/>
        <v>0</v>
      </c>
      <c r="DOY12" s="68">
        <f t="shared" si="899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900"/>
        <v>1896</v>
      </c>
      <c r="DPG12" s="68">
        <f t="shared" si="901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2"/>
        <v>0</v>
      </c>
      <c r="DPO12" s="68">
        <f t="shared" si="903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4"/>
        <v>1706</v>
      </c>
      <c r="DPW12" s="492">
        <f t="shared" si="905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6"/>
        <v>549</v>
      </c>
      <c r="DQE12" s="492">
        <f t="shared" si="907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8"/>
        <v>1613</v>
      </c>
      <c r="DQM12" s="492">
        <f t="shared" si="909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10"/>
        <v>270</v>
      </c>
      <c r="DQU12" s="68">
        <f t="shared" si="911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2"/>
        <v>1546</v>
      </c>
      <c r="DRC12" s="492">
        <f t="shared" si="913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4"/>
        <v>658</v>
      </c>
      <c r="DRK12" s="492">
        <f t="shared" si="915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6"/>
        <v>897</v>
      </c>
      <c r="DRS12" s="68">
        <f t="shared" si="917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8"/>
        <v>1174</v>
      </c>
      <c r="DSA12" s="68">
        <f t="shared" si="919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20"/>
        <v>228</v>
      </c>
      <c r="DSI12" s="68">
        <f t="shared" si="921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2"/>
        <v>2725</v>
      </c>
      <c r="DSQ12" s="68">
        <f t="shared" si="923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4"/>
        <v>1104</v>
      </c>
      <c r="DSY12" s="68">
        <f t="shared" si="925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6"/>
        <v>989</v>
      </c>
      <c r="DTG12" s="68">
        <f t="shared" si="927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8"/>
        <v>857</v>
      </c>
      <c r="DTO12" s="68">
        <f t="shared" si="929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30"/>
        <v>1211</v>
      </c>
      <c r="DTW12" s="68">
        <f t="shared" si="931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2"/>
        <v>1216</v>
      </c>
      <c r="DUE12" s="68">
        <f t="shared" si="933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4"/>
        <v>1143</v>
      </c>
      <c r="DUM12" s="68">
        <f t="shared" si="935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6"/>
        <v>933</v>
      </c>
      <c r="DUU12" s="184">
        <f t="shared" si="937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8"/>
        <v>1479</v>
      </c>
      <c r="DVC12" s="68">
        <f t="shared" si="939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40"/>
        <v>781</v>
      </c>
      <c r="DVK12" s="68">
        <f t="shared" si="941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2"/>
        <v>910</v>
      </c>
      <c r="DVS12" s="68">
        <f t="shared" si="943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4"/>
        <v>915</v>
      </c>
      <c r="DWA12" s="68">
        <f t="shared" si="945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6"/>
        <v>765</v>
      </c>
      <c r="DWI12" s="68">
        <f t="shared" si="947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8"/>
        <v>1139</v>
      </c>
      <c r="DWQ12" s="68">
        <f t="shared" si="949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50"/>
        <v>1540</v>
      </c>
      <c r="DWY12" s="68">
        <f t="shared" si="1207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51"/>
        <v>1303</v>
      </c>
      <c r="DXG12" s="68">
        <f t="shared" si="952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3"/>
        <v>990</v>
      </c>
      <c r="DXO12" s="68">
        <f t="shared" si="954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5"/>
        <v>894</v>
      </c>
      <c r="DXW12" s="68">
        <f t="shared" si="956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7"/>
        <v>1384</v>
      </c>
      <c r="DYE12" s="68">
        <f t="shared" si="958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9"/>
        <v>454</v>
      </c>
      <c r="DYM12" s="68">
        <f t="shared" si="960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61"/>
        <v>1120</v>
      </c>
      <c r="DYU12" s="68">
        <f t="shared" si="962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3"/>
        <v>1106</v>
      </c>
      <c r="DZC12" s="68">
        <f t="shared" si="964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443</v>
      </c>
      <c r="DZI12" s="49"/>
      <c r="DZJ12" s="64">
        <f t="shared" si="965"/>
        <v>1284</v>
      </c>
      <c r="DZK12" s="68">
        <f t="shared" si="966"/>
        <v>214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7"/>
        <v>440</v>
      </c>
      <c r="DZS12" s="68">
        <f t="shared" si="968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9"/>
        <v>1210</v>
      </c>
      <c r="EAA12" s="68">
        <f t="shared" si="970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71"/>
        <v>1417</v>
      </c>
      <c r="EAI12" s="68">
        <f t="shared" si="972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3"/>
        <v>1043</v>
      </c>
      <c r="EAQ12" s="68">
        <f t="shared" si="1208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4"/>
        <v>1282</v>
      </c>
      <c r="EAY12" s="68">
        <f t="shared" si="975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6"/>
        <v>881</v>
      </c>
      <c r="EBG12" s="68">
        <f t="shared" si="977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8"/>
        <v>437</v>
      </c>
      <c r="EBO12" s="68">
        <f t="shared" si="1137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9"/>
        <v>2209</v>
      </c>
      <c r="EBW12" s="68">
        <f t="shared" si="980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81"/>
        <v>0</v>
      </c>
      <c r="ECE12" s="68">
        <f t="shared" si="982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3"/>
        <v>1083</v>
      </c>
      <c r="ECM12" s="68">
        <f t="shared" si="984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5"/>
        <v>1100</v>
      </c>
      <c r="ECU12" s="68">
        <f t="shared" si="986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7"/>
        <v>1020</v>
      </c>
      <c r="EDC12" s="68">
        <f t="shared" si="988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9"/>
        <v>880</v>
      </c>
      <c r="EDK12" s="68">
        <f t="shared" si="990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443</v>
      </c>
      <c r="EDP12" s="49">
        <v>440</v>
      </c>
      <c r="EDQ12" s="49">
        <v>0</v>
      </c>
      <c r="EDR12" s="64">
        <f t="shared" si="991"/>
        <v>1104</v>
      </c>
      <c r="EDS12" s="184">
        <f t="shared" si="992"/>
        <v>184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3"/>
        <v>880</v>
      </c>
      <c r="EEA12" s="184">
        <f t="shared" si="994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5"/>
        <v>1099</v>
      </c>
      <c r="EEI12" s="68">
        <f t="shared" si="996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7"/>
        <v>881</v>
      </c>
      <c r="EEQ12" s="68">
        <f t="shared" si="998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9"/>
        <v>1131</v>
      </c>
      <c r="EEY12" s="68">
        <f t="shared" si="1000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1001"/>
        <v>1259</v>
      </c>
      <c r="EFG12" s="68">
        <f t="shared" si="1002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3"/>
        <v>879</v>
      </c>
      <c r="EFO12" s="68">
        <f t="shared" si="1004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5"/>
        <v>819</v>
      </c>
      <c r="EFW12" s="68">
        <f t="shared" si="1006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7"/>
        <v>838</v>
      </c>
      <c r="EGE12" s="68">
        <f t="shared" si="1008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9"/>
        <v>880</v>
      </c>
      <c r="EGM12" s="68">
        <f t="shared" si="1010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11"/>
        <v>565</v>
      </c>
      <c r="EGU12" s="68">
        <f t="shared" si="1209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2"/>
        <v>440</v>
      </c>
      <c r="EHC12" s="68">
        <f t="shared" si="1013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4"/>
        <v>901</v>
      </c>
      <c r="EHK12" s="68">
        <f t="shared" si="1015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6"/>
        <v>664</v>
      </c>
      <c r="EHS12" s="68">
        <f t="shared" si="1017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8"/>
        <v>578</v>
      </c>
      <c r="EIA12" s="68">
        <f t="shared" si="1019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20"/>
        <v>1088</v>
      </c>
      <c r="EII12" s="68">
        <f t="shared" si="1021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2"/>
        <v>1122</v>
      </c>
      <c r="EIQ12" s="68">
        <f t="shared" si="1023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4"/>
        <v>220</v>
      </c>
      <c r="EIY12" s="68">
        <f t="shared" si="1025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6"/>
        <v>1601</v>
      </c>
      <c r="EJG12" s="68">
        <f t="shared" si="1027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8"/>
        <v>220</v>
      </c>
      <c r="EJO12" s="68">
        <f t="shared" si="1029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30"/>
        <v>1362</v>
      </c>
      <c r="EJW12" s="68">
        <f t="shared" si="1031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2"/>
        <v>869</v>
      </c>
      <c r="EKE12" s="68">
        <f t="shared" si="1033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4"/>
        <v>879</v>
      </c>
      <c r="EKM12" s="68">
        <f t="shared" si="1035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6"/>
        <v>869</v>
      </c>
      <c r="EKU12" s="184">
        <f t="shared" si="1037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8"/>
        <v>658</v>
      </c>
      <c r="ELD12" s="211">
        <f t="shared" si="1039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40"/>
        <v>982</v>
      </c>
      <c r="ELL12" s="211">
        <f t="shared" si="1041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2"/>
        <v>882</v>
      </c>
      <c r="ELT12" s="211">
        <f t="shared" si="1043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4"/>
        <v>1412</v>
      </c>
      <c r="EMB12" s="211">
        <f t="shared" si="1045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6"/>
        <v>1020</v>
      </c>
      <c r="EMJ12" s="211">
        <f t="shared" si="1047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8"/>
        <v>657</v>
      </c>
      <c r="EMR12" s="211">
        <f t="shared" si="1049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50"/>
        <v>2370</v>
      </c>
      <c r="EMZ12" s="211">
        <f t="shared" si="1051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2"/>
        <v>612</v>
      </c>
      <c r="ENH12" s="211">
        <f t="shared" si="1053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4"/>
        <v>1474</v>
      </c>
      <c r="ENP12" s="211">
        <f t="shared" si="1055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6"/>
        <v>880</v>
      </c>
      <c r="ENX12" s="211">
        <f t="shared" si="1057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8"/>
        <v>1171</v>
      </c>
      <c r="EOF12" s="211">
        <f t="shared" si="1059"/>
        <v>195.16666666666666</v>
      </c>
      <c r="EOG12" s="195">
        <v>605</v>
      </c>
      <c r="EOH12" s="360">
        <f>SUMIF(SUMPK!$B:$B,$B:$B,SUMPK!$O:$O)</f>
        <v>443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60"/>
        <v>1712</v>
      </c>
      <c r="EON12" s="211">
        <f t="shared" si="1061"/>
        <v>285.33333333333331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2"/>
        <v>885</v>
      </c>
      <c r="EOV12" s="211">
        <f t="shared" si="1063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4"/>
        <v>941</v>
      </c>
      <c r="EPD12" s="211">
        <f t="shared" si="1065"/>
        <v>156.83333333333334</v>
      </c>
      <c r="EPE12" s="195">
        <v>873</v>
      </c>
      <c r="EPF12" s="49">
        <f>SUMIF(SUMPK!$B:$B,$B:$B,SUMPK!$O:$O)</f>
        <v>443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6"/>
        <v>1536</v>
      </c>
      <c r="EPL12" s="211">
        <f t="shared" si="1067"/>
        <v>256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8"/>
        <v>428</v>
      </c>
      <c r="EPT12" s="211">
        <f t="shared" si="1069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70"/>
        <v>986</v>
      </c>
      <c r="EQB12" s="211">
        <f t="shared" si="1071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2"/>
        <v>911</v>
      </c>
      <c r="EQJ12" s="211">
        <f t="shared" si="1073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4"/>
        <v>880</v>
      </c>
      <c r="EQR12" s="211">
        <f t="shared" si="1075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6"/>
        <v>1211</v>
      </c>
      <c r="EQZ12" s="211">
        <f t="shared" si="1077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8"/>
        <v>1460</v>
      </c>
      <c r="ERH12" s="211">
        <f t="shared" si="1079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80"/>
        <v>877</v>
      </c>
      <c r="ERP12" s="211">
        <f t="shared" si="1081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2"/>
        <v>562</v>
      </c>
      <c r="ERX12" s="211">
        <f t="shared" si="1083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4"/>
        <v>907</v>
      </c>
      <c r="ESF12" s="211">
        <f t="shared" si="1085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6"/>
        <v>905</v>
      </c>
      <c r="ESN12" s="211">
        <f t="shared" si="1087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8"/>
        <v>738</v>
      </c>
      <c r="ESV12" s="211">
        <f t="shared" si="1089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90"/>
        <v>898</v>
      </c>
      <c r="ETD12" s="211">
        <f t="shared" si="1091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2"/>
        <v>651</v>
      </c>
      <c r="ETL12" s="211">
        <f t="shared" si="1093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4"/>
        <v>1098</v>
      </c>
      <c r="ETT12" s="211">
        <f t="shared" si="1095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6"/>
        <v>328</v>
      </c>
      <c r="EUB12" s="211">
        <f t="shared" si="1097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8"/>
        <v>1670</v>
      </c>
      <c r="EUJ12" s="211">
        <f t="shared" si="1099"/>
        <v>278.33333333333331</v>
      </c>
      <c r="EUK12" s="195"/>
      <c r="EUL12" s="49">
        <v>0</v>
      </c>
      <c r="EUM12" s="49">
        <v>0</v>
      </c>
      <c r="EUN12" s="49">
        <f>SUMIF(SUMPK!$B:$B,$B:$B,SUMPK!$O:$O)</f>
        <v>443</v>
      </c>
      <c r="EUO12" s="49">
        <v>590</v>
      </c>
      <c r="EUP12" s="49">
        <v>0</v>
      </c>
      <c r="EUQ12" s="808">
        <f t="shared" si="1100"/>
        <v>1033</v>
      </c>
      <c r="EUR12" s="211">
        <f t="shared" si="1101"/>
        <v>172.16666666666666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2"/>
        <v>663</v>
      </c>
      <c r="EUZ12" s="211">
        <f t="shared" si="1103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4"/>
        <v>1008</v>
      </c>
      <c r="EVH12" s="211">
        <f t="shared" si="1105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6"/>
        <v>660</v>
      </c>
      <c r="EVP12" s="211">
        <f t="shared" si="1107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8"/>
        <v>1530</v>
      </c>
      <c r="EVX12" s="211">
        <f t="shared" si="1109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10"/>
        <v>622</v>
      </c>
      <c r="EWF12" s="211">
        <f t="shared" si="1111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2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3"/>
        <v>599</v>
      </c>
      <c r="EWV12" s="211">
        <f t="shared" si="1114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5"/>
        <v>359</v>
      </c>
      <c r="EXD12" s="211">
        <f t="shared" si="1116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7"/>
        <v>880</v>
      </c>
      <c r="EXL12" s="211">
        <f t="shared" si="1118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9"/>
        <v>563</v>
      </c>
      <c r="EXT12" s="211">
        <f t="shared" si="1120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21"/>
        <v>0</v>
      </c>
      <c r="EYB12" s="211">
        <f t="shared" si="1122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3"/>
        <v>1439</v>
      </c>
      <c r="EYJ12" s="211">
        <f t="shared" si="1124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5"/>
        <v>879</v>
      </c>
      <c r="EYR12" s="211">
        <f t="shared" si="1126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7"/>
        <v>952</v>
      </c>
      <c r="EYZ12" s="873">
        <f t="shared" si="1128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9"/>
        <v>552</v>
      </c>
      <c r="EZH12" s="873">
        <f t="shared" si="1130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443</v>
      </c>
      <c r="EZN12" s="49">
        <v>0</v>
      </c>
      <c r="EZO12" s="872">
        <f t="shared" si="1131"/>
        <v>1562</v>
      </c>
      <c r="EZP12" s="873">
        <f t="shared" si="1132"/>
        <v>260.33333333333331</v>
      </c>
      <c r="EZQ12" s="458">
        <v>0</v>
      </c>
      <c r="EZR12" s="83">
        <v>445</v>
      </c>
      <c r="EZS12" s="83">
        <v>0</v>
      </c>
      <c r="EZT12" s="83"/>
      <c r="EZU12" s="83"/>
      <c r="EZV12" s="83">
        <v>0</v>
      </c>
      <c r="EZW12" s="872">
        <f t="shared" si="1133"/>
        <v>445</v>
      </c>
      <c r="EZX12" s="873">
        <f t="shared" si="1134"/>
        <v>74.166666666666671</v>
      </c>
      <c r="EZY12" s="195">
        <v>607</v>
      </c>
      <c r="EZZ12" s="49">
        <v>0</v>
      </c>
      <c r="FAA12" s="49"/>
      <c r="FAB12" s="49"/>
      <c r="FAC12" s="49"/>
      <c r="FAD12" s="49"/>
      <c r="FAE12" s="872">
        <f t="shared" si="1135"/>
        <v>607</v>
      </c>
      <c r="FAF12" s="873">
        <f t="shared" si="1136"/>
        <v>101.16666666666667</v>
      </c>
    </row>
    <row r="13" spans="1:4088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2443</v>
      </c>
      <c r="G13" s="24"/>
      <c r="H13" s="24"/>
      <c r="I13" s="360"/>
      <c r="J13" s="360">
        <f>SUMIF(SUMPK!$B:$B,$B:$B,SUMPK!$O:$O)</f>
        <v>0</v>
      </c>
      <c r="K13" s="24">
        <f t="shared" si="188"/>
        <v>0</v>
      </c>
      <c r="L13" s="24">
        <f>F13+H13-J13</f>
        <v>2443</v>
      </c>
      <c r="M13" s="24">
        <f t="shared" si="190"/>
        <v>2443</v>
      </c>
      <c r="N13" s="15">
        <v>136.5</v>
      </c>
      <c r="O13" s="276">
        <f t="shared" si="191"/>
        <v>17.897435897435898</v>
      </c>
      <c r="P13" s="712">
        <v>180.83333333333334</v>
      </c>
      <c r="Q13" s="276">
        <f t="shared" si="192"/>
        <v>81.058064516129036</v>
      </c>
      <c r="R13" s="277">
        <f t="shared" si="193"/>
        <v>169.23076923076923</v>
      </c>
      <c r="S13" s="222">
        <v>4400</v>
      </c>
      <c r="T13" s="276">
        <f t="shared" si="194"/>
        <v>14.435909090909091</v>
      </c>
      <c r="U13" s="303"/>
      <c r="V13" s="302">
        <f t="shared" si="195"/>
        <v>14.435909090909091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6"/>
        <v>0</v>
      </c>
      <c r="BGI13" s="43">
        <f t="shared" si="507"/>
        <v>0</v>
      </c>
      <c r="BGJ13" s="48"/>
      <c r="BGK13" s="49"/>
      <c r="BGL13" s="49"/>
      <c r="BGM13" s="49"/>
      <c r="BGN13" s="49"/>
      <c r="BGO13" s="49"/>
      <c r="BGP13" s="42">
        <f t="shared" si="508"/>
        <v>0</v>
      </c>
      <c r="BGQ13" s="43">
        <f t="shared" si="509"/>
        <v>0</v>
      </c>
      <c r="BGR13" s="48"/>
      <c r="BGS13" s="49"/>
      <c r="BGT13" s="49"/>
      <c r="BGU13" s="49"/>
      <c r="BGV13" s="49"/>
      <c r="BGW13" s="49"/>
      <c r="BGX13" s="42">
        <f t="shared" si="510"/>
        <v>0</v>
      </c>
      <c r="BGY13" s="43">
        <f t="shared" si="511"/>
        <v>0</v>
      </c>
      <c r="BGZ13" s="48"/>
      <c r="BHA13" s="49"/>
      <c r="BHB13" s="49"/>
      <c r="BHC13" s="49"/>
      <c r="BHD13" s="49"/>
      <c r="BHE13" s="49"/>
      <c r="BHF13" s="42">
        <f t="shared" si="512"/>
        <v>0</v>
      </c>
      <c r="BHG13" s="43">
        <f t="shared" si="513"/>
        <v>0</v>
      </c>
      <c r="BHH13" s="63"/>
      <c r="BHI13" s="64"/>
      <c r="BHJ13" s="64"/>
      <c r="BHK13" s="64"/>
      <c r="BHL13" s="64"/>
      <c r="BHM13" s="64"/>
      <c r="BHN13" s="42">
        <f t="shared" si="514"/>
        <v>0</v>
      </c>
      <c r="BHO13" s="43">
        <f t="shared" si="515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6"/>
        <v>801</v>
      </c>
      <c r="BHW13" s="43">
        <f t="shared" si="517"/>
        <v>133.5</v>
      </c>
      <c r="BHX13" s="48"/>
      <c r="BHY13" s="49"/>
      <c r="BHZ13" s="49"/>
      <c r="BIA13" s="49"/>
      <c r="BIB13" s="49"/>
      <c r="BIC13" s="49"/>
      <c r="BID13" s="42">
        <f t="shared" si="518"/>
        <v>0</v>
      </c>
      <c r="BIE13" s="43">
        <f t="shared" si="519"/>
        <v>0</v>
      </c>
      <c r="BIF13" s="48"/>
      <c r="BIG13" s="49"/>
      <c r="BIH13" s="49"/>
      <c r="BII13" s="49"/>
      <c r="BIJ13" s="49"/>
      <c r="BIK13" s="49"/>
      <c r="BIL13" s="42">
        <f t="shared" si="520"/>
        <v>0</v>
      </c>
      <c r="BIM13" s="43">
        <f t="shared" si="521"/>
        <v>0</v>
      </c>
      <c r="BIN13" s="48"/>
      <c r="BIO13" s="49"/>
      <c r="BIP13" s="49"/>
      <c r="BIQ13" s="49"/>
      <c r="BIR13" s="49"/>
      <c r="BIS13" s="49"/>
      <c r="BIT13" s="42">
        <f t="shared" si="522"/>
        <v>0</v>
      </c>
      <c r="BIU13" s="43">
        <f t="shared" si="523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4"/>
        <v>102</v>
      </c>
      <c r="BJC13" s="43">
        <f t="shared" si="525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6"/>
        <v>200</v>
      </c>
      <c r="BJK13" s="43">
        <f t="shared" si="527"/>
        <v>33.333333333333336</v>
      </c>
      <c r="BJL13" s="48"/>
      <c r="BJM13" s="49"/>
      <c r="BJN13" s="49"/>
      <c r="BJO13" s="49"/>
      <c r="BJP13" s="49"/>
      <c r="BJQ13" s="49"/>
      <c r="BJR13" s="42">
        <f t="shared" si="528"/>
        <v>0</v>
      </c>
      <c r="BJS13" s="43">
        <f t="shared" si="529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30"/>
        <v>200</v>
      </c>
      <c r="BKA13" s="43">
        <f t="shared" si="531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2"/>
        <v>198</v>
      </c>
      <c r="BKI13" s="68">
        <f t="shared" si="533"/>
        <v>33</v>
      </c>
      <c r="BKJ13" s="48"/>
      <c r="BKK13" s="49"/>
      <c r="BKL13" s="49"/>
      <c r="BKM13" s="49"/>
      <c r="BKN13" s="49"/>
      <c r="BKO13" s="49"/>
      <c r="BKP13" s="42">
        <f t="shared" si="534"/>
        <v>0</v>
      </c>
      <c r="BKQ13" s="43">
        <f t="shared" si="535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6"/>
        <v>179</v>
      </c>
      <c r="BKY13" s="43">
        <f t="shared" si="537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8"/>
        <v>200</v>
      </c>
      <c r="BLG13" s="43">
        <f t="shared" si="539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40"/>
        <v>199</v>
      </c>
      <c r="BLO13" s="43">
        <f t="shared" si="541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2"/>
        <v>200</v>
      </c>
      <c r="BLW13" s="43">
        <f t="shared" si="543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4"/>
        <v>202</v>
      </c>
      <c r="BME13" s="43">
        <f t="shared" si="545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6"/>
        <v>200</v>
      </c>
      <c r="BMM13" s="43">
        <f t="shared" si="547"/>
        <v>33.333333333333336</v>
      </c>
      <c r="BMN13" s="63"/>
      <c r="BMO13" s="64"/>
      <c r="BMP13" s="64"/>
      <c r="BMQ13" s="64"/>
      <c r="BMR13" s="64"/>
      <c r="BMS13" s="64"/>
      <c r="BMT13" s="42">
        <f t="shared" si="548"/>
        <v>0</v>
      </c>
      <c r="BMU13" s="43">
        <f t="shared" si="549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50"/>
        <v>200</v>
      </c>
      <c r="BNC13" s="43">
        <f t="shared" si="551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2"/>
        <v>220</v>
      </c>
      <c r="BNK13" s="43">
        <f t="shared" si="553"/>
        <v>36.666666666666664</v>
      </c>
      <c r="BNL13" s="48"/>
      <c r="BNM13" s="49"/>
      <c r="BNN13" s="49"/>
      <c r="BNO13" s="49"/>
      <c r="BNP13" s="49"/>
      <c r="BNQ13" s="49"/>
      <c r="BNR13" s="42">
        <f t="shared" si="554"/>
        <v>0</v>
      </c>
      <c r="BNS13" s="43">
        <f t="shared" si="555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6"/>
        <v>200</v>
      </c>
      <c r="BOA13" s="43">
        <f t="shared" si="557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8"/>
        <v>200</v>
      </c>
      <c r="BOI13" s="43">
        <f t="shared" si="559"/>
        <v>33.333333333333336</v>
      </c>
      <c r="BOJ13" s="48"/>
      <c r="BOK13" s="49"/>
      <c r="BOL13" s="49"/>
      <c r="BOM13" s="49"/>
      <c r="BON13" s="49"/>
      <c r="BOO13" s="49"/>
      <c r="BOP13" s="42">
        <f t="shared" si="560"/>
        <v>0</v>
      </c>
      <c r="BOQ13" s="43">
        <f t="shared" si="561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2"/>
        <v>200</v>
      </c>
      <c r="BOY13" s="43">
        <f t="shared" si="563"/>
        <v>33.333333333333336</v>
      </c>
      <c r="BOZ13" s="63"/>
      <c r="BPA13" s="64"/>
      <c r="BPB13" s="64"/>
      <c r="BPC13" s="64"/>
      <c r="BPD13" s="64"/>
      <c r="BPE13" s="64"/>
      <c r="BPF13" s="42">
        <f t="shared" si="564"/>
        <v>0</v>
      </c>
      <c r="BPG13" s="43">
        <f t="shared" si="565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6"/>
        <v>313</v>
      </c>
      <c r="BPO13" s="43">
        <f t="shared" si="567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8"/>
        <v>200</v>
      </c>
      <c r="BPW13" s="43">
        <f t="shared" si="569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70"/>
        <v>321</v>
      </c>
      <c r="BQE13" s="43">
        <f t="shared" si="571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2"/>
        <v>1240</v>
      </c>
      <c r="BQM13" s="43">
        <f t="shared" si="573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4"/>
        <v>729</v>
      </c>
      <c r="BQU13" s="43">
        <f t="shared" si="575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6"/>
        <v>320</v>
      </c>
      <c r="BRC13" s="43">
        <f t="shared" si="577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8"/>
        <v>602</v>
      </c>
      <c r="BRK13" s="43">
        <f t="shared" si="579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80"/>
        <v>700</v>
      </c>
      <c r="BRS13" s="68">
        <f t="shared" si="581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2"/>
        <v>200</v>
      </c>
      <c r="BSA13" s="43">
        <f t="shared" si="583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4"/>
        <v>800</v>
      </c>
      <c r="BSI13" s="43">
        <f t="shared" si="585"/>
        <v>133.33333333333334</v>
      </c>
      <c r="BSJ13" s="63"/>
      <c r="BSK13" s="64"/>
      <c r="BSL13" s="64"/>
      <c r="BSM13" s="64"/>
      <c r="BSN13" s="64"/>
      <c r="BSO13" s="64"/>
      <c r="BSP13" s="67">
        <f t="shared" si="586"/>
        <v>0</v>
      </c>
      <c r="BSQ13" s="43">
        <f t="shared" si="587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8"/>
        <v>677</v>
      </c>
      <c r="BSY13" s="43">
        <f t="shared" si="589"/>
        <v>112.83333333333333</v>
      </c>
      <c r="BSZ13" s="63"/>
      <c r="BTA13" s="64"/>
      <c r="BTB13" s="64"/>
      <c r="BTC13" s="64"/>
      <c r="BTD13" s="64"/>
      <c r="BTE13" s="64"/>
      <c r="BTF13" s="67">
        <f t="shared" si="590"/>
        <v>0</v>
      </c>
      <c r="BTG13" s="43">
        <f t="shared" si="591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2"/>
        <v>1005</v>
      </c>
      <c r="BTO13" s="68">
        <f t="shared" si="593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4"/>
        <v>400</v>
      </c>
      <c r="BTW13" s="43">
        <f t="shared" si="595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6"/>
        <v>801</v>
      </c>
      <c r="BUE13" s="68">
        <f t="shared" si="597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8"/>
        <v>1002</v>
      </c>
      <c r="BUM13" s="68">
        <f t="shared" si="599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600"/>
        <v>547</v>
      </c>
      <c r="BUU13" s="68">
        <f t="shared" si="601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2"/>
        <v>299</v>
      </c>
      <c r="BVC13" s="68">
        <f t="shared" si="603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4"/>
        <v>676</v>
      </c>
      <c r="BVK13" s="68">
        <f t="shared" si="605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6"/>
        <v>602</v>
      </c>
      <c r="BVS13" s="68">
        <f t="shared" si="607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8"/>
        <v>600</v>
      </c>
      <c r="BWA13" s="68">
        <f t="shared" si="609"/>
        <v>100</v>
      </c>
      <c r="BWB13" s="48"/>
      <c r="BWC13" s="49"/>
      <c r="BWD13" s="49"/>
      <c r="BWE13" s="49"/>
      <c r="BWF13" s="49"/>
      <c r="BWG13" s="49"/>
      <c r="BWH13" s="67">
        <f t="shared" si="610"/>
        <v>0</v>
      </c>
      <c r="BWI13" s="68">
        <f t="shared" si="611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2"/>
        <v>1076</v>
      </c>
      <c r="BWQ13" s="68">
        <f t="shared" si="613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4"/>
        <v>101</v>
      </c>
      <c r="BWY13" s="68">
        <f t="shared" si="615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6"/>
        <v>240</v>
      </c>
      <c r="BXG13" s="68">
        <f t="shared" si="617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8"/>
        <v>833</v>
      </c>
      <c r="BXO13" s="68">
        <f t="shared" si="619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20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21"/>
        <v>100</v>
      </c>
      <c r="BYE13" s="68">
        <f t="shared" si="622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3"/>
        <v>530</v>
      </c>
      <c r="BYM13" s="68">
        <f t="shared" si="624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5"/>
        <v>403</v>
      </c>
      <c r="BYU13" s="68">
        <f t="shared" si="626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7"/>
        <v>412</v>
      </c>
      <c r="BZC13" s="68">
        <f t="shared" si="628"/>
        <v>68.666666666666671</v>
      </c>
      <c r="BZD13" s="48"/>
      <c r="BZE13" s="49"/>
      <c r="BZF13" s="49"/>
      <c r="BZG13" s="49"/>
      <c r="BZH13" s="49"/>
      <c r="BZI13" s="49"/>
      <c r="BZJ13" s="67">
        <f t="shared" si="629"/>
        <v>0</v>
      </c>
      <c r="BZK13" s="68">
        <f t="shared" si="630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31"/>
        <v>200</v>
      </c>
      <c r="BZS13" s="68">
        <f t="shared" si="632"/>
        <v>33.333333333333336</v>
      </c>
      <c r="BZT13" s="48"/>
      <c r="BZU13" s="49"/>
      <c r="BZV13" s="49"/>
      <c r="BZW13" s="49"/>
      <c r="BZX13" s="49"/>
      <c r="BZY13" s="49"/>
      <c r="BZZ13" s="67">
        <f t="shared" si="633"/>
        <v>0</v>
      </c>
      <c r="CAA13" s="68">
        <f t="shared" si="634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5"/>
        <v>400</v>
      </c>
      <c r="CAI13" s="68">
        <f t="shared" si="636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7"/>
        <v>512</v>
      </c>
      <c r="CAQ13" s="68">
        <f t="shared" si="638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9"/>
        <v>200</v>
      </c>
      <c r="CAY13" s="68">
        <f t="shared" si="640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41"/>
        <v>210</v>
      </c>
      <c r="CBG13" s="68">
        <f t="shared" si="642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3"/>
        <v>391</v>
      </c>
      <c r="CBO13" s="68">
        <f t="shared" si="644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5"/>
        <v>631</v>
      </c>
      <c r="CBW13" s="68">
        <f t="shared" si="646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7"/>
        <v>110</v>
      </c>
      <c r="CCE13" s="68">
        <f t="shared" si="648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9"/>
        <v>299</v>
      </c>
      <c r="CCM13" s="68">
        <f t="shared" si="650"/>
        <v>49.833333333333336</v>
      </c>
      <c r="CCN13" s="48"/>
      <c r="CCO13" s="49"/>
      <c r="CCP13" s="49"/>
      <c r="CCQ13" s="49"/>
      <c r="CCR13" s="49"/>
      <c r="CCS13" s="49"/>
      <c r="CCT13" s="67">
        <f t="shared" si="651"/>
        <v>0</v>
      </c>
      <c r="CCU13" s="68">
        <f t="shared" si="652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3"/>
        <v>210</v>
      </c>
      <c r="CDC13" s="68">
        <f t="shared" si="654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5"/>
        <v>433</v>
      </c>
      <c r="CDK13" s="68">
        <f t="shared" si="656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7"/>
        <v>997</v>
      </c>
      <c r="CDS13" s="68">
        <f t="shared" si="658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9"/>
        <v>859</v>
      </c>
      <c r="CEA13" s="68">
        <f t="shared" si="660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61"/>
        <v>619</v>
      </c>
      <c r="CEI13" s="68">
        <f t="shared" si="662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3"/>
        <v>922</v>
      </c>
      <c r="CEQ13" s="68">
        <f t="shared" si="664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5"/>
        <v>1302</v>
      </c>
      <c r="CEY13" s="68">
        <f t="shared" si="666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7"/>
        <v>1085</v>
      </c>
      <c r="CFG13" s="68">
        <f t="shared" si="668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9"/>
        <v>801</v>
      </c>
      <c r="CFO13" s="68">
        <f t="shared" si="670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71"/>
        <v>1108</v>
      </c>
      <c r="CFW13" s="68">
        <f t="shared" si="672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3"/>
        <v>1314</v>
      </c>
      <c r="CGE13" s="68">
        <f t="shared" si="674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5"/>
        <v>1299</v>
      </c>
      <c r="CGM13" s="68">
        <f t="shared" si="676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7"/>
        <v>901</v>
      </c>
      <c r="CGU13" s="68">
        <f t="shared" si="678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9"/>
        <v>1079</v>
      </c>
      <c r="CHC13" s="68">
        <f t="shared" si="680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81"/>
        <v>1820</v>
      </c>
      <c r="CHK13" s="68">
        <f t="shared" si="682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3"/>
        <v>400</v>
      </c>
      <c r="CHS13" s="68">
        <f t="shared" si="684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5"/>
        <v>1709</v>
      </c>
      <c r="CIA13" s="68">
        <f t="shared" si="686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7"/>
        <v>1099</v>
      </c>
      <c r="CII13" s="68">
        <f t="shared" si="688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9"/>
        <v>439</v>
      </c>
      <c r="CIQ13" s="68">
        <f t="shared" si="690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91"/>
        <v>1289</v>
      </c>
      <c r="CIY13" s="68">
        <f t="shared" si="692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3"/>
        <v>2058</v>
      </c>
      <c r="CJG13" s="68">
        <f t="shared" si="1206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4"/>
        <v>1401</v>
      </c>
      <c r="CJO13" s="68">
        <f t="shared" si="695"/>
        <v>233.5</v>
      </c>
      <c r="CJP13" s="48"/>
      <c r="CJQ13" s="49"/>
      <c r="CJR13" s="49"/>
      <c r="CJS13" s="49"/>
      <c r="CJT13" s="49"/>
      <c r="CJU13" s="49"/>
      <c r="CJV13" s="67">
        <f t="shared" si="696"/>
        <v>0</v>
      </c>
      <c r="CJW13" s="68">
        <f t="shared" si="697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8"/>
        <v>989</v>
      </c>
      <c r="CKE13" s="68">
        <f t="shared" si="699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700"/>
        <v>2690</v>
      </c>
      <c r="CKM13" s="68">
        <f t="shared" si="701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2"/>
        <v>219</v>
      </c>
      <c r="CKU13" s="68">
        <f t="shared" si="703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4"/>
        <v>662</v>
      </c>
      <c r="CLC13" s="68">
        <f t="shared" si="705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6"/>
        <v>1212</v>
      </c>
      <c r="CLK13" s="68">
        <f t="shared" si="707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8"/>
        <v>461</v>
      </c>
      <c r="CLS13" s="68">
        <f t="shared" si="709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10"/>
        <v>877</v>
      </c>
      <c r="CMA13" s="68">
        <f t="shared" si="711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2"/>
        <v>1111</v>
      </c>
      <c r="CMI13" s="68">
        <f t="shared" si="713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4"/>
        <v>673</v>
      </c>
      <c r="CMQ13" s="68">
        <f t="shared" si="715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6"/>
        <v>1416</v>
      </c>
      <c r="CMY13" s="68">
        <f t="shared" si="717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8"/>
        <v>1586</v>
      </c>
      <c r="CNG13" s="68">
        <f t="shared" si="719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20"/>
        <v>1213</v>
      </c>
      <c r="CNO13" s="68">
        <f t="shared" si="721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2"/>
        <v>1097</v>
      </c>
      <c r="CNW13" s="68">
        <f t="shared" si="723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4"/>
        <v>660</v>
      </c>
      <c r="COE13" s="68">
        <f t="shared" si="725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6"/>
        <v>884</v>
      </c>
      <c r="COM13" s="68">
        <f t="shared" si="727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8"/>
        <v>885</v>
      </c>
      <c r="COU13" s="68">
        <f t="shared" si="729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30"/>
        <v>992</v>
      </c>
      <c r="CPC13" s="68">
        <f t="shared" si="731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2"/>
        <v>636</v>
      </c>
      <c r="CPK13" s="68">
        <f t="shared" si="733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4"/>
        <v>1017</v>
      </c>
      <c r="CPS13" s="68">
        <f t="shared" si="735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6"/>
        <v>1100</v>
      </c>
      <c r="CQA13" s="68">
        <f t="shared" si="737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8"/>
        <v>1423</v>
      </c>
      <c r="CQI13" s="68">
        <f t="shared" si="739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40"/>
        <v>441</v>
      </c>
      <c r="CQQ13" s="68">
        <f t="shared" si="741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2"/>
        <v>1143</v>
      </c>
      <c r="CQY13" s="68">
        <f t="shared" si="743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4"/>
        <v>1349</v>
      </c>
      <c r="CRG13" s="68">
        <f t="shared" si="745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6"/>
        <v>894</v>
      </c>
      <c r="CRO13" s="68">
        <f t="shared" si="747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8"/>
        <v>0</v>
      </c>
      <c r="CRW13" s="68">
        <f t="shared" si="749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50"/>
        <v>880</v>
      </c>
      <c r="CSE13" s="68">
        <f t="shared" si="751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2"/>
        <v>1090</v>
      </c>
      <c r="CSM13" s="68">
        <f t="shared" si="753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4"/>
        <v>1423</v>
      </c>
      <c r="CSU13" s="68">
        <f t="shared" si="755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6"/>
        <v>219</v>
      </c>
      <c r="CTC13" s="68">
        <f t="shared" si="757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8"/>
        <v>1000</v>
      </c>
      <c r="CTK13" s="68">
        <f t="shared" si="759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60"/>
        <v>441</v>
      </c>
      <c r="CTS13" s="68">
        <f t="shared" si="761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2"/>
        <v>1189</v>
      </c>
      <c r="CUA13" s="68">
        <f t="shared" si="763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4"/>
        <v>440</v>
      </c>
      <c r="CUI13" s="68">
        <f t="shared" si="765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6"/>
        <v>1191</v>
      </c>
      <c r="CUQ13" s="68">
        <f t="shared" si="767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8"/>
        <v>771</v>
      </c>
      <c r="CUY13" s="68">
        <f t="shared" si="769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70"/>
        <v>438</v>
      </c>
      <c r="CVG13" s="68">
        <f t="shared" si="771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2"/>
        <v>798</v>
      </c>
      <c r="CVO13" s="68">
        <f t="shared" si="773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4"/>
        <v>608</v>
      </c>
      <c r="CVW13" s="68">
        <f t="shared" si="775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6"/>
        <v>1621</v>
      </c>
      <c r="CWE13" s="68">
        <f t="shared" si="777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8"/>
        <v>552</v>
      </c>
      <c r="CWM13" s="68">
        <f t="shared" si="779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80"/>
        <v>1240</v>
      </c>
      <c r="CWU13" s="68">
        <f t="shared" si="781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2"/>
        <v>330</v>
      </c>
      <c r="CXC13" s="43">
        <f t="shared" si="783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4"/>
        <v>210</v>
      </c>
      <c r="CXK13" s="43">
        <f t="shared" si="785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6"/>
        <v>987</v>
      </c>
      <c r="CXS13" s="43">
        <f t="shared" si="787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8"/>
        <v>764</v>
      </c>
      <c r="CYA13" s="43">
        <f t="shared" si="789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90"/>
        <v>958</v>
      </c>
      <c r="CYI13" s="43">
        <f t="shared" si="791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2"/>
        <v>799</v>
      </c>
      <c r="CYQ13" s="43">
        <f t="shared" si="793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4"/>
        <v>220</v>
      </c>
      <c r="CYY13" s="43">
        <f t="shared" si="795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6"/>
        <v>1084</v>
      </c>
      <c r="CZG13" s="43">
        <f t="shared" si="797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8"/>
        <v>880</v>
      </c>
      <c r="CZO13" s="43">
        <f t="shared" si="799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800"/>
        <v>440</v>
      </c>
      <c r="CZW13" s="43">
        <f t="shared" si="801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2"/>
        <v>1207</v>
      </c>
      <c r="DAE13" s="68">
        <f t="shared" si="803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4"/>
        <v>444</v>
      </c>
      <c r="DAM13" s="68">
        <f t="shared" si="805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6"/>
        <v>432</v>
      </c>
      <c r="DAU13" s="68">
        <f t="shared" si="807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8"/>
        <v>880</v>
      </c>
      <c r="DBC13" s="68">
        <f t="shared" si="809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10"/>
        <v>881</v>
      </c>
      <c r="DBK13" s="68">
        <f t="shared" si="811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2"/>
        <v>418</v>
      </c>
      <c r="DBS13" s="68">
        <f t="shared" si="813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4"/>
        <v>990</v>
      </c>
      <c r="DCA13" s="68">
        <f t="shared" si="815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6"/>
        <v>660</v>
      </c>
      <c r="DCI13" s="68">
        <f t="shared" si="817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8"/>
        <v>661</v>
      </c>
      <c r="DCQ13" s="68">
        <f t="shared" si="819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20"/>
        <v>875</v>
      </c>
      <c r="DCY13" s="68">
        <f t="shared" si="821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2"/>
        <v>660</v>
      </c>
      <c r="DDG13" s="68">
        <f t="shared" si="823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4"/>
        <v>769</v>
      </c>
      <c r="DDO13" s="43">
        <f t="shared" si="825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6"/>
        <v>330</v>
      </c>
      <c r="DDW13" s="43">
        <f t="shared" si="827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8"/>
        <v>1322</v>
      </c>
      <c r="DEE13" s="43">
        <f t="shared" si="829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30"/>
        <v>221</v>
      </c>
      <c r="DEM13" s="43">
        <f t="shared" si="831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2"/>
        <v>661</v>
      </c>
      <c r="DEU13" s="43">
        <f t="shared" si="833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4"/>
        <v>1096</v>
      </c>
      <c r="DFC13" s="43">
        <f t="shared" si="835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6"/>
        <v>1019</v>
      </c>
      <c r="DFK13" s="43">
        <f t="shared" si="837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8"/>
        <v>880</v>
      </c>
      <c r="DFS13" s="68">
        <f t="shared" si="839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40"/>
        <v>912</v>
      </c>
      <c r="DGA13" s="43">
        <f t="shared" si="841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2"/>
        <v>683</v>
      </c>
      <c r="DGI13" s="43">
        <f t="shared" si="843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4"/>
        <v>678</v>
      </c>
      <c r="DGQ13" s="68">
        <f t="shared" si="845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6"/>
        <v>661</v>
      </c>
      <c r="DGY13" s="68">
        <f t="shared" si="847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8"/>
        <v>989</v>
      </c>
      <c r="DHG13" s="68">
        <f t="shared" si="849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50"/>
        <v>434</v>
      </c>
      <c r="DHO13" s="68">
        <f t="shared" si="851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2"/>
        <v>632</v>
      </c>
      <c r="DHW13" s="68">
        <f t="shared" si="853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4"/>
        <v>661</v>
      </c>
      <c r="DIE13" s="68">
        <f t="shared" si="855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6"/>
        <v>660</v>
      </c>
      <c r="DIM13" s="68">
        <f t="shared" si="857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8"/>
        <v>660</v>
      </c>
      <c r="DIU13" s="68">
        <f t="shared" si="859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60"/>
        <v>110</v>
      </c>
      <c r="DJC13" s="68">
        <f t="shared" si="861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2"/>
        <v>771</v>
      </c>
      <c r="DJK13" s="68">
        <f t="shared" si="863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4"/>
        <v>972</v>
      </c>
      <c r="DJS13" s="68">
        <f t="shared" si="865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6"/>
        <v>552</v>
      </c>
      <c r="DKA13" s="68">
        <f t="shared" si="867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8"/>
        <v>990</v>
      </c>
      <c r="DKI13" s="68">
        <f t="shared" si="869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70"/>
        <v>770</v>
      </c>
      <c r="DKQ13" s="68">
        <f t="shared" si="871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2"/>
        <v>615</v>
      </c>
      <c r="DKY13" s="68">
        <f t="shared" si="873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4"/>
        <v>1582</v>
      </c>
      <c r="DLG13" s="68">
        <f t="shared" si="875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6"/>
        <v>878</v>
      </c>
      <c r="DLO13" s="68">
        <f t="shared" si="877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8"/>
        <v>661</v>
      </c>
      <c r="DLW13" s="68">
        <f t="shared" si="879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80"/>
        <v>1322</v>
      </c>
      <c r="DME13" s="68">
        <f t="shared" si="881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2"/>
        <v>220</v>
      </c>
      <c r="DMM13" s="68">
        <f t="shared" si="883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4"/>
        <v>1462</v>
      </c>
      <c r="DMU13" s="68">
        <f t="shared" si="885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6"/>
        <v>773</v>
      </c>
      <c r="DNC13" s="68">
        <f t="shared" si="887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8"/>
        <v>770</v>
      </c>
      <c r="DNK13" s="68">
        <f t="shared" si="889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90"/>
        <v>768</v>
      </c>
      <c r="DNS13" s="68">
        <f t="shared" si="891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2"/>
        <v>664</v>
      </c>
      <c r="DOA13" s="68">
        <f t="shared" si="893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4"/>
        <v>820</v>
      </c>
      <c r="DOI13" s="68">
        <f t="shared" si="895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6"/>
        <v>328</v>
      </c>
      <c r="DOQ13" s="68">
        <f t="shared" si="897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8"/>
        <v>550</v>
      </c>
      <c r="DOY13" s="68">
        <f t="shared" si="899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900"/>
        <v>801</v>
      </c>
      <c r="DPG13" s="68">
        <f t="shared" si="901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2"/>
        <v>660</v>
      </c>
      <c r="DPO13" s="68">
        <f t="shared" si="903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4"/>
        <v>653</v>
      </c>
      <c r="DPW13" s="492">
        <f t="shared" si="905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6"/>
        <v>991</v>
      </c>
      <c r="DQE13" s="492">
        <f t="shared" si="907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8"/>
        <v>770</v>
      </c>
      <c r="DQM13" s="492">
        <f t="shared" si="909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10"/>
        <v>880</v>
      </c>
      <c r="DQU13" s="68">
        <f t="shared" si="911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2"/>
        <v>440</v>
      </c>
      <c r="DRC13" s="492">
        <f t="shared" si="913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4"/>
        <v>1321</v>
      </c>
      <c r="DRK13" s="492">
        <f t="shared" si="915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6"/>
        <v>652</v>
      </c>
      <c r="DRS13" s="68">
        <f t="shared" si="917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8"/>
        <v>549</v>
      </c>
      <c r="DSA13" s="68">
        <f t="shared" si="919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20"/>
        <v>650</v>
      </c>
      <c r="DSI13" s="68">
        <f t="shared" si="921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2"/>
        <v>872</v>
      </c>
      <c r="DSQ13" s="68">
        <f t="shared" si="923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4"/>
        <v>763</v>
      </c>
      <c r="DSY13" s="68">
        <f t="shared" si="925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6"/>
        <v>325</v>
      </c>
      <c r="DTG13" s="68">
        <f t="shared" si="927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8"/>
        <v>880</v>
      </c>
      <c r="DTO13" s="68">
        <f t="shared" si="929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30"/>
        <v>841</v>
      </c>
      <c r="DTW13" s="68">
        <f t="shared" si="931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2"/>
        <v>877</v>
      </c>
      <c r="DUE13" s="68">
        <f t="shared" si="933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4"/>
        <v>1339</v>
      </c>
      <c r="DUM13" s="68">
        <f t="shared" si="935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6"/>
        <v>1033</v>
      </c>
      <c r="DUU13" s="184">
        <f t="shared" si="937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8"/>
        <v>450</v>
      </c>
      <c r="DVC13" s="68">
        <f t="shared" si="939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40"/>
        <v>994</v>
      </c>
      <c r="DVK13" s="68">
        <f t="shared" si="941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2"/>
        <v>891</v>
      </c>
      <c r="DVS13" s="68">
        <f t="shared" si="943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4"/>
        <v>527</v>
      </c>
      <c r="DWA13" s="68">
        <f t="shared" si="945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6"/>
        <v>1289</v>
      </c>
      <c r="DWI13" s="68">
        <f t="shared" si="947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8"/>
        <v>862</v>
      </c>
      <c r="DWQ13" s="68">
        <f t="shared" si="949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50"/>
        <v>899</v>
      </c>
      <c r="DWY13" s="68">
        <f t="shared" si="1207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51"/>
        <v>223</v>
      </c>
      <c r="DXG13" s="68">
        <f t="shared" si="952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3"/>
        <v>1031</v>
      </c>
      <c r="DXO13" s="68">
        <f t="shared" si="954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5"/>
        <v>1101</v>
      </c>
      <c r="DXW13" s="68">
        <f t="shared" si="956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7"/>
        <v>1090</v>
      </c>
      <c r="DYE13" s="68">
        <f t="shared" si="958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9"/>
        <v>1208</v>
      </c>
      <c r="DYM13" s="68">
        <f t="shared" si="960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61"/>
        <v>241</v>
      </c>
      <c r="DYU13" s="68">
        <f t="shared" si="962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3"/>
        <v>1035</v>
      </c>
      <c r="DZC13" s="68">
        <f t="shared" si="964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5"/>
        <v>901</v>
      </c>
      <c r="DZK13" s="68">
        <f t="shared" si="966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7"/>
        <v>220</v>
      </c>
      <c r="DZS13" s="68">
        <f t="shared" si="968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9"/>
        <v>1363</v>
      </c>
      <c r="EAA13" s="68">
        <f t="shared" si="970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71"/>
        <v>932</v>
      </c>
      <c r="EAI13" s="68">
        <f t="shared" si="972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3"/>
        <v>1041</v>
      </c>
      <c r="EAQ13" s="68">
        <f t="shared" si="1208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4"/>
        <v>1457</v>
      </c>
      <c r="EAY13" s="68">
        <f t="shared" si="975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6"/>
        <v>456</v>
      </c>
      <c r="EBG13" s="68">
        <f t="shared" si="977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8"/>
        <v>876</v>
      </c>
      <c r="EBO13" s="68">
        <f t="shared" si="1137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9"/>
        <v>698</v>
      </c>
      <c r="EBW13" s="68">
        <f t="shared" si="980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81"/>
        <v>440</v>
      </c>
      <c r="ECE13" s="68">
        <f t="shared" si="982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3"/>
        <v>1103</v>
      </c>
      <c r="ECM13" s="68">
        <f t="shared" si="984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5"/>
        <v>662</v>
      </c>
      <c r="ECU13" s="68">
        <f t="shared" si="986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7"/>
        <v>662</v>
      </c>
      <c r="EDC13" s="68">
        <f t="shared" si="988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9"/>
        <v>660</v>
      </c>
      <c r="EDK13" s="68">
        <f t="shared" si="990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91"/>
        <v>852</v>
      </c>
      <c r="EDS13" s="184">
        <f t="shared" si="992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3"/>
        <v>1009</v>
      </c>
      <c r="EEA13" s="184">
        <f t="shared" si="994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5"/>
        <v>442</v>
      </c>
      <c r="EEI13" s="68">
        <f t="shared" si="996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7"/>
        <v>807</v>
      </c>
      <c r="EEQ13" s="68">
        <f t="shared" si="998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9"/>
        <v>969</v>
      </c>
      <c r="EEY13" s="68">
        <f t="shared" si="1000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1001"/>
        <v>911</v>
      </c>
      <c r="EFG13" s="68">
        <f t="shared" si="1002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3"/>
        <v>438</v>
      </c>
      <c r="EFO13" s="68">
        <f t="shared" si="1004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5"/>
        <v>661</v>
      </c>
      <c r="EFW13" s="68">
        <f t="shared" si="1006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7"/>
        <v>440</v>
      </c>
      <c r="EGE13" s="68">
        <f t="shared" si="1008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9"/>
        <v>222</v>
      </c>
      <c r="EGM13" s="68">
        <f t="shared" si="1010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11"/>
        <v>331</v>
      </c>
      <c r="EGU13" s="68">
        <f t="shared" si="1209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2"/>
        <v>849</v>
      </c>
      <c r="EHC13" s="68">
        <f t="shared" si="1013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4"/>
        <v>958</v>
      </c>
      <c r="EHK13" s="68">
        <f t="shared" si="1015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6"/>
        <v>897</v>
      </c>
      <c r="EHS13" s="68">
        <f t="shared" si="1017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8"/>
        <v>656</v>
      </c>
      <c r="EIA13" s="68">
        <f t="shared" si="1019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20"/>
        <v>657</v>
      </c>
      <c r="EII13" s="68">
        <f t="shared" si="1021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2"/>
        <v>823</v>
      </c>
      <c r="EIQ13" s="68">
        <f t="shared" si="1023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4"/>
        <v>551</v>
      </c>
      <c r="EIY13" s="68">
        <f t="shared" si="1025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6"/>
        <v>1919</v>
      </c>
      <c r="EJG13" s="68">
        <f t="shared" si="1027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8"/>
        <v>210</v>
      </c>
      <c r="EJO13" s="68">
        <f t="shared" si="1029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30"/>
        <v>1040</v>
      </c>
      <c r="EJW13" s="68">
        <f t="shared" si="1031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2"/>
        <v>636</v>
      </c>
      <c r="EKE13" s="68">
        <f t="shared" si="1033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4"/>
        <v>819</v>
      </c>
      <c r="EKM13" s="68">
        <f t="shared" si="1035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6"/>
        <v>462</v>
      </c>
      <c r="EKU13" s="184">
        <f t="shared" si="1037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8"/>
        <v>758</v>
      </c>
      <c r="ELD13" s="211">
        <f t="shared" si="1039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40"/>
        <v>880</v>
      </c>
      <c r="ELL13" s="211">
        <f t="shared" si="1041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2"/>
        <v>566</v>
      </c>
      <c r="ELT13" s="211">
        <f t="shared" si="1043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4"/>
        <v>1096</v>
      </c>
      <c r="EMB13" s="211">
        <f t="shared" si="1045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6"/>
        <v>996</v>
      </c>
      <c r="EMJ13" s="211">
        <f t="shared" si="1047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8"/>
        <v>531</v>
      </c>
      <c r="EMR13" s="211">
        <f t="shared" si="1049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50"/>
        <v>1214</v>
      </c>
      <c r="EMZ13" s="211">
        <f t="shared" si="1051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2"/>
        <v>737</v>
      </c>
      <c r="ENH13" s="211">
        <f t="shared" si="1053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4"/>
        <v>426</v>
      </c>
      <c r="ENP13" s="211">
        <f t="shared" si="1055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6"/>
        <v>988</v>
      </c>
      <c r="ENX13" s="211">
        <f t="shared" si="1057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8"/>
        <v>876</v>
      </c>
      <c r="EOF13" s="211">
        <f t="shared" si="1059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60"/>
        <v>557</v>
      </c>
      <c r="EON13" s="211">
        <f t="shared" si="1061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2"/>
        <v>0</v>
      </c>
      <c r="EOV13" s="211">
        <f t="shared" si="1063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4"/>
        <v>1276</v>
      </c>
      <c r="EPD13" s="211">
        <f t="shared" si="1065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6"/>
        <v>1300</v>
      </c>
      <c r="EPL13" s="211">
        <f t="shared" si="1067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8"/>
        <v>901</v>
      </c>
      <c r="EPT13" s="211">
        <f t="shared" si="1069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70"/>
        <v>771</v>
      </c>
      <c r="EQB13" s="211">
        <f t="shared" si="1071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2"/>
        <v>549</v>
      </c>
      <c r="EQJ13" s="211">
        <f t="shared" si="1073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4"/>
        <v>900</v>
      </c>
      <c r="EQR13" s="211">
        <f t="shared" si="1075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6"/>
        <v>442</v>
      </c>
      <c r="EQZ13" s="211">
        <f t="shared" si="1077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8"/>
        <v>1041</v>
      </c>
      <c r="ERH13" s="211">
        <f t="shared" si="1079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80"/>
        <v>439</v>
      </c>
      <c r="ERP13" s="211">
        <f t="shared" si="1081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2"/>
        <v>330</v>
      </c>
      <c r="ERX13" s="211">
        <f t="shared" si="1083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4"/>
        <v>640</v>
      </c>
      <c r="ESF13" s="211">
        <f t="shared" si="1085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6"/>
        <v>769</v>
      </c>
      <c r="ESN13" s="211">
        <f t="shared" si="1087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8"/>
        <v>667</v>
      </c>
      <c r="ESV13" s="211">
        <f t="shared" si="1089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90"/>
        <v>444</v>
      </c>
      <c r="ETD13" s="211">
        <f t="shared" si="1091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2"/>
        <v>833</v>
      </c>
      <c r="ETL13" s="211">
        <f t="shared" si="1093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4"/>
        <v>1286</v>
      </c>
      <c r="ETT13" s="211">
        <f t="shared" si="1095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6"/>
        <v>220</v>
      </c>
      <c r="EUB13" s="211">
        <f t="shared" si="1097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8"/>
        <v>446</v>
      </c>
      <c r="EUJ13" s="211">
        <f t="shared" si="1099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100"/>
        <v>891</v>
      </c>
      <c r="EUR13" s="211">
        <f t="shared" si="1101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2"/>
        <v>441</v>
      </c>
      <c r="EUZ13" s="211">
        <f t="shared" si="1103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4"/>
        <v>926</v>
      </c>
      <c r="EVH13" s="211">
        <f t="shared" si="1105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6"/>
        <v>1057</v>
      </c>
      <c r="EVP13" s="211">
        <f t="shared" si="1107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8"/>
        <v>767</v>
      </c>
      <c r="EVX13" s="211">
        <f t="shared" si="1109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10"/>
        <v>567</v>
      </c>
      <c r="EWF13" s="211">
        <f t="shared" si="1111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2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3"/>
        <v>662</v>
      </c>
      <c r="EWV13" s="211">
        <f t="shared" si="1114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5"/>
        <v>543</v>
      </c>
      <c r="EXD13" s="211">
        <f t="shared" si="1116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7"/>
        <v>432</v>
      </c>
      <c r="EXL13" s="211">
        <f t="shared" si="1118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9"/>
        <v>1218</v>
      </c>
      <c r="EXT13" s="211">
        <f t="shared" si="1120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21"/>
        <v>840</v>
      </c>
      <c r="EYB13" s="211">
        <f t="shared" si="1122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3"/>
        <v>1030</v>
      </c>
      <c r="EYJ13" s="211">
        <f t="shared" si="1124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5"/>
        <v>888</v>
      </c>
      <c r="EYR13" s="211">
        <f t="shared" si="1126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7"/>
        <v>0</v>
      </c>
      <c r="EYZ13" s="873">
        <f t="shared" si="1128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9"/>
        <v>440</v>
      </c>
      <c r="EZH13" s="873">
        <f t="shared" si="1130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0</v>
      </c>
      <c r="EZN13" s="49">
        <v>0</v>
      </c>
      <c r="EZO13" s="872">
        <f t="shared" si="1131"/>
        <v>690</v>
      </c>
      <c r="EZP13" s="873">
        <f t="shared" si="1132"/>
        <v>115</v>
      </c>
      <c r="EZQ13" s="458">
        <v>380</v>
      </c>
      <c r="EZR13" s="83"/>
      <c r="EZS13" s="83">
        <v>439</v>
      </c>
      <c r="EZT13" s="83"/>
      <c r="EZU13" s="83"/>
      <c r="EZV13" s="83">
        <v>0</v>
      </c>
      <c r="EZW13" s="872">
        <f t="shared" si="1133"/>
        <v>819</v>
      </c>
      <c r="EZX13" s="873">
        <f t="shared" si="1134"/>
        <v>136.5</v>
      </c>
      <c r="EZY13" s="195">
        <v>722</v>
      </c>
      <c r="EZZ13" s="49">
        <v>0</v>
      </c>
      <c r="FAA13" s="49"/>
      <c r="FAB13" s="49"/>
      <c r="FAC13" s="49"/>
      <c r="FAD13" s="49"/>
      <c r="FAE13" s="872">
        <f t="shared" si="1135"/>
        <v>722</v>
      </c>
      <c r="FAF13" s="873">
        <f t="shared" si="1136"/>
        <v>120.33333333333333</v>
      </c>
    </row>
    <row r="14" spans="1:4088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10">E14+G14-I14</f>
        <v>0</v>
      </c>
      <c r="L14" s="24">
        <f>F14+H14-J14</f>
        <v>1264</v>
      </c>
      <c r="M14" s="24">
        <f t="shared" si="190"/>
        <v>1264</v>
      </c>
      <c r="N14" s="15">
        <v>0</v>
      </c>
      <c r="O14" s="276">
        <f t="shared" si="191"/>
        <v>0</v>
      </c>
      <c r="P14" s="712">
        <v>0</v>
      </c>
      <c r="Q14" s="276">
        <f t="shared" si="192"/>
        <v>0</v>
      </c>
      <c r="R14" s="277">
        <f t="shared" si="193"/>
        <v>30.76923076923077</v>
      </c>
      <c r="S14" s="222">
        <v>800</v>
      </c>
      <c r="T14" s="276">
        <f t="shared" si="194"/>
        <v>41.08</v>
      </c>
      <c r="U14" s="303"/>
      <c r="V14" s="302">
        <f t="shared" si="195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43"/>
        <v>801</v>
      </c>
      <c r="AK14" s="43">
        <f t="shared" si="1144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45"/>
        <v>602</v>
      </c>
      <c r="AS14" s="43">
        <f t="shared" si="1146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7"/>
        <v>1000</v>
      </c>
      <c r="BA14" s="43">
        <f t="shared" si="1148"/>
        <v>166.66666666666666</v>
      </c>
      <c r="BB14" s="48"/>
      <c r="BC14" s="49"/>
      <c r="BD14" s="49"/>
      <c r="BE14" s="49"/>
      <c r="BF14" s="49"/>
      <c r="BG14" s="49"/>
      <c r="BH14" s="42">
        <f t="shared" si="1149"/>
        <v>0</v>
      </c>
      <c r="BI14" s="43">
        <f t="shared" si="1150"/>
        <v>0</v>
      </c>
      <c r="BJ14" s="48"/>
      <c r="BK14" s="49"/>
      <c r="BL14" s="49">
        <v>859</v>
      </c>
      <c r="BM14" s="49"/>
      <c r="BN14" s="49"/>
      <c r="BO14" s="49"/>
      <c r="BP14" s="42">
        <f t="shared" si="1151"/>
        <v>859</v>
      </c>
      <c r="BQ14" s="43">
        <f t="shared" si="1152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53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54"/>
        <v>985</v>
      </c>
      <c r="CG14" s="43">
        <f t="shared" si="1155"/>
        <v>164.16666666666666</v>
      </c>
      <c r="CH14" s="48"/>
      <c r="CI14" s="49"/>
      <c r="CJ14" s="49"/>
      <c r="CK14" s="49"/>
      <c r="CL14" s="49"/>
      <c r="CM14" s="49"/>
      <c r="CN14" s="42">
        <f t="shared" si="1156"/>
        <v>0</v>
      </c>
      <c r="CO14" s="43">
        <f t="shared" si="1157"/>
        <v>0</v>
      </c>
      <c r="CP14" s="48"/>
      <c r="CQ14" s="49"/>
      <c r="CR14" s="49"/>
      <c r="CS14" s="49">
        <v>1074</v>
      </c>
      <c r="CT14" s="49"/>
      <c r="CU14" s="49"/>
      <c r="CV14" s="42">
        <f t="shared" si="1158"/>
        <v>1074</v>
      </c>
      <c r="CW14" s="43">
        <f t="shared" si="1159"/>
        <v>179</v>
      </c>
      <c r="CX14" s="48"/>
      <c r="CY14" s="49"/>
      <c r="CZ14" s="49"/>
      <c r="DA14" s="49"/>
      <c r="DB14" s="49"/>
      <c r="DC14" s="49">
        <v>600</v>
      </c>
      <c r="DD14" s="42">
        <f t="shared" si="1160"/>
        <v>600</v>
      </c>
      <c r="DE14" s="43">
        <f t="shared" si="1161"/>
        <v>100</v>
      </c>
      <c r="DF14" s="48"/>
      <c r="DG14" s="49"/>
      <c r="DH14" s="49"/>
      <c r="DI14" s="49"/>
      <c r="DJ14" s="49">
        <v>800</v>
      </c>
      <c r="DK14" s="49"/>
      <c r="DL14" s="42">
        <f t="shared" si="1162"/>
        <v>800</v>
      </c>
      <c r="DM14" s="43">
        <f t="shared" si="1163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64"/>
        <v>600</v>
      </c>
      <c r="DU14" s="43">
        <f t="shared" si="1165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6"/>
        <v>191</v>
      </c>
      <c r="EC14" s="43">
        <f t="shared" si="1167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8"/>
        <v>800</v>
      </c>
      <c r="EK14" s="43">
        <f t="shared" si="1169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70"/>
        <v>903</v>
      </c>
      <c r="ES14" s="43">
        <f t="shared" si="1171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72"/>
        <v>398</v>
      </c>
      <c r="FA14" s="43">
        <f t="shared" si="1173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74"/>
        <v>1800</v>
      </c>
      <c r="FI14" s="43">
        <f t="shared" si="1175"/>
        <v>300</v>
      </c>
      <c r="FJ14" s="48"/>
      <c r="FK14" s="49"/>
      <c r="FL14" s="49"/>
      <c r="FM14" s="49"/>
      <c r="FN14" s="49"/>
      <c r="FO14" s="49"/>
      <c r="FP14" s="42">
        <f t="shared" si="1176"/>
        <v>0</v>
      </c>
      <c r="FQ14" s="43">
        <f t="shared" si="1177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8"/>
        <v>951</v>
      </c>
      <c r="FY14" s="43">
        <f t="shared" si="1179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80"/>
        <v>1613</v>
      </c>
      <c r="GG14" s="43">
        <f t="shared" si="1181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82"/>
        <v>220</v>
      </c>
      <c r="GO14" s="43">
        <f t="shared" si="1183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84"/>
        <v>901</v>
      </c>
      <c r="GW14" s="43">
        <f t="shared" si="1185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6"/>
        <v>400</v>
      </c>
      <c r="HE14" s="43">
        <f t="shared" si="1187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8"/>
        <v>1252</v>
      </c>
      <c r="HM14" s="43">
        <f t="shared" si="1189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90"/>
        <v>1552</v>
      </c>
      <c r="HU14" s="43">
        <f t="shared" si="1191"/>
        <v>258.66666666666669</v>
      </c>
      <c r="HV14" s="48"/>
      <c r="HW14" s="49"/>
      <c r="HX14" s="49"/>
      <c r="HY14" s="49"/>
      <c r="HZ14" s="49"/>
      <c r="IA14" s="49"/>
      <c r="IB14" s="42">
        <f t="shared" si="1192"/>
        <v>0</v>
      </c>
      <c r="IC14" s="43">
        <f t="shared" si="1193"/>
        <v>0</v>
      </c>
      <c r="ID14" s="48"/>
      <c r="IE14" s="49"/>
      <c r="IF14" s="49"/>
      <c r="IG14" s="49"/>
      <c r="IH14" s="49"/>
      <c r="II14" s="49"/>
      <c r="IJ14" s="42">
        <f t="shared" si="1194"/>
        <v>0</v>
      </c>
      <c r="IK14" s="43">
        <f t="shared" si="1195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6"/>
        <v>613</v>
      </c>
      <c r="IS14" s="68">
        <f t="shared" si="1197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8"/>
        <v>353</v>
      </c>
      <c r="JA14" s="68">
        <f t="shared" si="1199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200"/>
        <v>301</v>
      </c>
      <c r="JI14" s="68">
        <f t="shared" si="1201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202"/>
        <v>603</v>
      </c>
      <c r="JQ14" s="43">
        <f t="shared" si="1203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204"/>
        <v>1276</v>
      </c>
      <c r="JY14" s="43">
        <f t="shared" si="1205"/>
        <v>212.66666666666666</v>
      </c>
      <c r="JZ14" s="48"/>
      <c r="KA14" s="49"/>
      <c r="KB14" s="49"/>
      <c r="KC14" s="49"/>
      <c r="KD14" s="49"/>
      <c r="KE14" s="49"/>
      <c r="KF14" s="42">
        <f t="shared" si="196"/>
        <v>0</v>
      </c>
      <c r="KG14" s="43">
        <f t="shared" si="197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8"/>
        <v>1825</v>
      </c>
      <c r="KO14" s="68">
        <f t="shared" si="199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200"/>
        <v>876</v>
      </c>
      <c r="KW14" s="68">
        <f t="shared" si="201"/>
        <v>146</v>
      </c>
      <c r="KX14" s="48"/>
      <c r="KY14" s="49"/>
      <c r="KZ14" s="49"/>
      <c r="LA14" s="49"/>
      <c r="LB14" s="49"/>
      <c r="LC14" s="49"/>
      <c r="LD14" s="67">
        <f t="shared" si="202"/>
        <v>0</v>
      </c>
      <c r="LE14" s="68">
        <f t="shared" si="203"/>
        <v>0</v>
      </c>
      <c r="LF14" s="48"/>
      <c r="LG14" s="49">
        <v>1006</v>
      </c>
      <c r="LH14" s="49"/>
      <c r="LI14" s="49"/>
      <c r="LJ14" s="49"/>
      <c r="LK14" s="49"/>
      <c r="LL14" s="67">
        <f t="shared" si="204"/>
        <v>1006</v>
      </c>
      <c r="LM14" s="68">
        <f t="shared" si="205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6"/>
        <v>1998</v>
      </c>
      <c r="LU14" s="68">
        <f t="shared" si="207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8"/>
        <v>3099</v>
      </c>
      <c r="MC14" s="68">
        <f t="shared" si="209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10"/>
        <v>1585</v>
      </c>
      <c r="MK14" s="68">
        <f t="shared" si="211"/>
        <v>264.16666666666669</v>
      </c>
      <c r="ML14" s="48"/>
      <c r="MM14" s="49"/>
      <c r="MN14" s="49"/>
      <c r="MO14" s="49"/>
      <c r="MP14" s="49"/>
      <c r="MQ14" s="49"/>
      <c r="MR14" s="67">
        <f t="shared" si="212"/>
        <v>0</v>
      </c>
      <c r="MS14" s="68">
        <f t="shared" si="213"/>
        <v>0</v>
      </c>
      <c r="MT14" s="48"/>
      <c r="MU14" s="49"/>
      <c r="MV14" s="49"/>
      <c r="MW14" s="49"/>
      <c r="MX14" s="49"/>
      <c r="MY14" s="49">
        <v>560</v>
      </c>
      <c r="MZ14" s="67">
        <f t="shared" si="214"/>
        <v>560</v>
      </c>
      <c r="NA14" s="68">
        <f t="shared" si="215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6"/>
        <v>1991</v>
      </c>
      <c r="NI14" s="68">
        <f t="shared" si="217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8"/>
        <v>783</v>
      </c>
      <c r="NQ14" s="68">
        <f t="shared" si="219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20"/>
        <v>1986</v>
      </c>
      <c r="NY14" s="68">
        <f t="shared" si="221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2"/>
        <v>1969</v>
      </c>
      <c r="OG14" s="68">
        <f t="shared" si="223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4"/>
        <v>2020</v>
      </c>
      <c r="OO14" s="68">
        <f t="shared" si="225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6"/>
        <v>401</v>
      </c>
      <c r="OW14" s="68">
        <f t="shared" si="227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8"/>
        <v>2043</v>
      </c>
      <c r="PE14" s="68">
        <f t="shared" si="229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30"/>
        <v>2409</v>
      </c>
      <c r="PM14" s="68">
        <f t="shared" si="231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2"/>
        <v>1902</v>
      </c>
      <c r="PU14" s="105">
        <f t="shared" si="233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4"/>
        <v>1427</v>
      </c>
      <c r="QC14" s="105">
        <f t="shared" si="235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6"/>
        <v>802</v>
      </c>
      <c r="QK14" s="105">
        <f t="shared" si="237"/>
        <v>133.66666666666666</v>
      </c>
      <c r="QL14" s="106"/>
      <c r="QM14" s="107"/>
      <c r="QN14" s="107"/>
      <c r="QO14" s="107"/>
      <c r="QP14" s="107"/>
      <c r="QQ14" s="107"/>
      <c r="QR14" s="104">
        <f t="shared" si="238"/>
        <v>0</v>
      </c>
      <c r="QS14" s="105">
        <f t="shared" si="239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40"/>
        <v>252</v>
      </c>
      <c r="RA14" s="105">
        <f t="shared" si="241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2"/>
        <v>970</v>
      </c>
      <c r="RI14" s="105">
        <f t="shared" si="243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4"/>
        <v>774</v>
      </c>
      <c r="RQ14" s="105">
        <f t="shared" si="245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6"/>
        <v>1645</v>
      </c>
      <c r="RY14" s="105">
        <f t="shared" si="247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8"/>
        <v>477</v>
      </c>
      <c r="SG14" s="105">
        <f t="shared" si="249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50"/>
        <v>2447</v>
      </c>
      <c r="SO14" s="105">
        <f t="shared" si="251"/>
        <v>407.83333333333331</v>
      </c>
      <c r="SP14" s="106"/>
      <c r="SQ14" s="107"/>
      <c r="SR14" s="107"/>
      <c r="SS14" s="107"/>
      <c r="ST14" s="107"/>
      <c r="SU14" s="107"/>
      <c r="SV14" s="104">
        <f t="shared" si="252"/>
        <v>0</v>
      </c>
      <c r="SW14" s="105">
        <f t="shared" si="253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4"/>
        <v>2302</v>
      </c>
      <c r="TE14" s="105">
        <f t="shared" si="255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6"/>
        <v>1398</v>
      </c>
      <c r="TM14" s="105">
        <f t="shared" si="257"/>
        <v>233</v>
      </c>
      <c r="TN14" s="106"/>
      <c r="TO14" s="107"/>
      <c r="TP14" s="107"/>
      <c r="TQ14" s="107"/>
      <c r="TR14" s="107"/>
      <c r="TS14" s="107"/>
      <c r="TT14" s="104">
        <f t="shared" si="258"/>
        <v>0</v>
      </c>
      <c r="TU14" s="105">
        <f t="shared" si="259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60"/>
        <v>1399</v>
      </c>
      <c r="UC14" s="105">
        <f t="shared" si="261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2"/>
        <v>1613</v>
      </c>
      <c r="UK14" s="105">
        <f t="shared" si="263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4"/>
        <v>1442</v>
      </c>
      <c r="UT14" s="105">
        <f t="shared" si="265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6"/>
        <v>1010</v>
      </c>
      <c r="VB14" s="105">
        <f t="shared" si="267"/>
        <v>168.33333333333334</v>
      </c>
      <c r="VC14" s="106"/>
      <c r="VD14" s="107"/>
      <c r="VE14" s="107"/>
      <c r="VF14" s="107"/>
      <c r="VG14" s="107"/>
      <c r="VH14" s="107"/>
      <c r="VI14" s="104">
        <f t="shared" si="268"/>
        <v>0</v>
      </c>
      <c r="VJ14" s="105">
        <f t="shared" si="269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70"/>
        <v>855</v>
      </c>
      <c r="VR14" s="105">
        <f t="shared" si="271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2"/>
        <v>1272</v>
      </c>
      <c r="VZ14" s="105">
        <f t="shared" si="273"/>
        <v>212</v>
      </c>
      <c r="WA14" s="63">
        <v>400</v>
      </c>
      <c r="WB14" s="64"/>
      <c r="WC14" s="64"/>
      <c r="WD14" s="64"/>
      <c r="WE14" s="64"/>
      <c r="WF14" s="64"/>
      <c r="WG14" s="67">
        <f t="shared" si="274"/>
        <v>400</v>
      </c>
      <c r="WH14" s="68">
        <f t="shared" si="275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6"/>
        <v>2085</v>
      </c>
      <c r="WP14" s="68">
        <f t="shared" si="277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8"/>
        <v>428</v>
      </c>
      <c r="WY14" s="68">
        <f t="shared" si="279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80"/>
        <v>666</v>
      </c>
      <c r="XH14" s="68">
        <f t="shared" si="281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2"/>
        <v>0</v>
      </c>
      <c r="XQ14" s="105">
        <f t="shared" si="283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4"/>
        <v>1002</v>
      </c>
      <c r="XZ14" s="68">
        <f t="shared" si="285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6"/>
        <v>402</v>
      </c>
      <c r="YI14" s="68">
        <f t="shared" si="287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8"/>
        <v>1202</v>
      </c>
      <c r="YR14" s="68">
        <f t="shared" si="289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90"/>
        <v>800</v>
      </c>
      <c r="YZ14" s="68">
        <f t="shared" si="291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2"/>
        <v>946</v>
      </c>
      <c r="ZH14" s="68">
        <f t="shared" si="293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4"/>
        <v>1141</v>
      </c>
      <c r="ZP14" s="68">
        <f t="shared" si="295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6"/>
        <v>802</v>
      </c>
      <c r="ZY14" s="68">
        <f t="shared" si="297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8"/>
        <v>1048</v>
      </c>
      <c r="AAH14" s="68">
        <f t="shared" si="299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300"/>
        <v>658</v>
      </c>
      <c r="AAP14" s="68">
        <f t="shared" si="301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2"/>
        <v>1617</v>
      </c>
      <c r="AAX14" s="68">
        <f t="shared" si="303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4"/>
        <v>1796</v>
      </c>
      <c r="ABF14" s="68">
        <f t="shared" si="305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6"/>
        <v>1251</v>
      </c>
      <c r="ABN14" s="68">
        <f t="shared" si="307"/>
        <v>208.5</v>
      </c>
      <c r="ABO14" s="48"/>
      <c r="ABP14" s="49"/>
      <c r="ABQ14" s="49"/>
      <c r="ABR14" s="49"/>
      <c r="ABS14" s="49"/>
      <c r="ABT14" s="49"/>
      <c r="ABU14" s="67">
        <f t="shared" si="308"/>
        <v>0</v>
      </c>
      <c r="ABV14" s="68">
        <f t="shared" si="309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10"/>
        <v>369</v>
      </c>
      <c r="ACD14" s="68">
        <f t="shared" si="311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2"/>
        <v>2393</v>
      </c>
      <c r="ACL14" s="68">
        <f t="shared" si="313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4"/>
        <v>1608</v>
      </c>
      <c r="ACT14" s="68">
        <f t="shared" si="315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6"/>
        <v>364</v>
      </c>
      <c r="ADB14" s="68">
        <f t="shared" si="317"/>
        <v>60.666666666666664</v>
      </c>
      <c r="ADC14" s="48"/>
      <c r="ADD14" s="49"/>
      <c r="ADE14" s="49"/>
      <c r="ADF14" s="49"/>
      <c r="ADG14" s="49"/>
      <c r="ADH14" s="49"/>
      <c r="ADI14" s="67">
        <f t="shared" si="318"/>
        <v>0</v>
      </c>
      <c r="ADJ14" s="68">
        <f t="shared" si="319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20"/>
        <v>995</v>
      </c>
      <c r="ADR14" s="68">
        <f t="shared" si="321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2"/>
        <v>913</v>
      </c>
      <c r="ADZ14" s="68">
        <f t="shared" si="323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4"/>
        <v>700</v>
      </c>
      <c r="AEH14" s="68">
        <f t="shared" si="325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6"/>
        <v>798</v>
      </c>
      <c r="AEP14" s="68">
        <f t="shared" si="327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8"/>
        <v>1445</v>
      </c>
      <c r="AEX14" s="68">
        <f t="shared" si="329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30"/>
        <v>802</v>
      </c>
      <c r="AFF14" s="68">
        <f t="shared" si="331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2"/>
        <v>1000</v>
      </c>
      <c r="AFN14" s="68">
        <f t="shared" si="333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4"/>
        <v>1209</v>
      </c>
      <c r="AFV14" s="68">
        <f t="shared" si="335"/>
        <v>201.5</v>
      </c>
      <c r="AFW14" s="48"/>
      <c r="AFX14" s="49"/>
      <c r="AFY14" s="49"/>
      <c r="AFZ14" s="49"/>
      <c r="AGA14" s="49"/>
      <c r="AGB14" s="49"/>
      <c r="AGC14" s="67">
        <f t="shared" si="336"/>
        <v>0</v>
      </c>
      <c r="AGD14" s="68">
        <f t="shared" si="337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8"/>
        <v>797</v>
      </c>
      <c r="AGL14" s="68">
        <f t="shared" si="339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40"/>
        <v>398</v>
      </c>
      <c r="AGU14" s="68">
        <f t="shared" si="341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2"/>
        <v>1330</v>
      </c>
      <c r="AHC14" s="68">
        <f t="shared" si="343"/>
        <v>45.862068965517238</v>
      </c>
      <c r="AHD14" s="48"/>
      <c r="AHE14" s="49"/>
      <c r="AHF14" s="49"/>
      <c r="AHG14" s="49"/>
      <c r="AHH14" s="49"/>
      <c r="AHI14" s="49"/>
      <c r="AHJ14" s="67">
        <f t="shared" si="344"/>
        <v>0</v>
      </c>
      <c r="AHK14" s="68">
        <f t="shared" si="345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6"/>
        <v>800</v>
      </c>
      <c r="AHS14" s="68">
        <f t="shared" si="347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8"/>
        <v>952</v>
      </c>
      <c r="AIA14" s="68">
        <f t="shared" si="349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50"/>
        <v>1000</v>
      </c>
      <c r="AII14" s="68">
        <f t="shared" si="351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2"/>
        <v>797</v>
      </c>
      <c r="AIQ14" s="68">
        <f t="shared" si="353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4"/>
        <v>554</v>
      </c>
      <c r="AIY14" s="68">
        <f t="shared" si="355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6"/>
        <v>803</v>
      </c>
      <c r="AJG14" s="68">
        <f t="shared" si="357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8"/>
        <v>1201</v>
      </c>
      <c r="AJO14" s="43">
        <f t="shared" si="359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60"/>
        <v>198</v>
      </c>
      <c r="AJW14" s="43">
        <f t="shared" si="361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2"/>
        <v>200</v>
      </c>
      <c r="AKE14" s="68">
        <f t="shared" si="363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4"/>
        <v>1358</v>
      </c>
      <c r="AKM14" s="184">
        <f t="shared" si="365"/>
        <v>226.33333333333334</v>
      </c>
      <c r="AKN14" s="195"/>
      <c r="AKO14" s="49"/>
      <c r="AKP14" s="49"/>
      <c r="AKQ14" s="49"/>
      <c r="AKR14" s="49"/>
      <c r="AKS14" s="49"/>
      <c r="AKT14" s="67">
        <f t="shared" si="366"/>
        <v>0</v>
      </c>
      <c r="AKU14" s="184">
        <f t="shared" si="367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8"/>
        <v>1000</v>
      </c>
      <c r="ALC14" s="68">
        <f t="shared" si="369"/>
        <v>166.66666666666666</v>
      </c>
      <c r="ALD14" s="48"/>
      <c r="ALE14" s="49"/>
      <c r="ALF14" s="49"/>
      <c r="ALG14" s="49"/>
      <c r="ALH14" s="49"/>
      <c r="ALI14" s="49"/>
      <c r="ALJ14" s="67">
        <f t="shared" si="370"/>
        <v>0</v>
      </c>
      <c r="ALK14" s="68">
        <f t="shared" si="371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2"/>
        <v>602</v>
      </c>
      <c r="ALS14" s="68">
        <f t="shared" si="373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4"/>
        <v>973</v>
      </c>
      <c r="AMA14" s="68">
        <f t="shared" si="375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6"/>
        <v>1356</v>
      </c>
      <c r="AMI14" s="68">
        <f t="shared" si="377"/>
        <v>226</v>
      </c>
      <c r="AMJ14" s="48"/>
      <c r="AMK14" s="49"/>
      <c r="AML14" s="49"/>
      <c r="AMM14" s="49"/>
      <c r="AMN14" s="49"/>
      <c r="AMO14" s="49"/>
      <c r="AMP14" s="67">
        <f t="shared" si="378"/>
        <v>0</v>
      </c>
      <c r="AMQ14" s="68">
        <f t="shared" si="379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80"/>
        <v>935</v>
      </c>
      <c r="AMY14" s="68">
        <f t="shared" si="381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2"/>
        <v>802</v>
      </c>
      <c r="ANG14" s="68">
        <f t="shared" si="383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4"/>
        <v>804</v>
      </c>
      <c r="ANO14" s="68">
        <f t="shared" si="385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6"/>
        <v>601</v>
      </c>
      <c r="ANW14" s="68">
        <f t="shared" si="387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8"/>
        <v>598</v>
      </c>
      <c r="AOE14" s="68">
        <f t="shared" si="389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90"/>
        <v>802</v>
      </c>
      <c r="AOM14" s="68">
        <f t="shared" si="391"/>
        <v>133.66666666666666</v>
      </c>
      <c r="AON14" s="48"/>
      <c r="AOO14" s="49"/>
      <c r="AOP14" s="49"/>
      <c r="AOQ14" s="49"/>
      <c r="AOR14" s="49"/>
      <c r="AOS14" s="49"/>
      <c r="AOT14" s="67">
        <f t="shared" si="392"/>
        <v>0</v>
      </c>
      <c r="AOU14" s="68">
        <f t="shared" si="393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4"/>
        <v>402</v>
      </c>
      <c r="APC14" s="68">
        <f t="shared" si="395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6"/>
        <v>804</v>
      </c>
      <c r="APK14" s="68">
        <f t="shared" si="397"/>
        <v>134</v>
      </c>
      <c r="APL14" s="48"/>
      <c r="APM14" s="49"/>
      <c r="APN14" s="49"/>
      <c r="APO14" s="49"/>
      <c r="APP14" s="49"/>
      <c r="APQ14" s="49"/>
      <c r="APR14" s="67">
        <f t="shared" si="398"/>
        <v>0</v>
      </c>
      <c r="APS14" s="68">
        <f t="shared" si="399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400"/>
        <v>1595</v>
      </c>
      <c r="AQA14" s="68">
        <f t="shared" si="401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2"/>
        <v>601</v>
      </c>
      <c r="AQI14" s="68">
        <f t="shared" si="403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4"/>
        <v>811</v>
      </c>
      <c r="AQQ14" s="68">
        <f t="shared" si="405"/>
        <v>135.16666666666666</v>
      </c>
      <c r="AQR14" s="48"/>
      <c r="AQS14" s="49"/>
      <c r="AQT14" s="49"/>
      <c r="AQU14" s="49"/>
      <c r="AQV14" s="49"/>
      <c r="AQW14" s="49"/>
      <c r="AQX14" s="67">
        <f t="shared" si="406"/>
        <v>0</v>
      </c>
      <c r="AQY14" s="68">
        <f t="shared" si="407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8"/>
        <v>400</v>
      </c>
      <c r="ARG14" s="68">
        <f t="shared" si="409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10"/>
        <v>903</v>
      </c>
      <c r="ARO14" s="68">
        <f t="shared" si="411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2"/>
        <v>1001</v>
      </c>
      <c r="ARW14" s="68">
        <f t="shared" si="413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4"/>
        <v>798</v>
      </c>
      <c r="ASE14" s="68">
        <f t="shared" si="415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6"/>
        <v>2118</v>
      </c>
      <c r="ASM14" s="68">
        <f t="shared" si="417"/>
        <v>353</v>
      </c>
      <c r="ASN14" s="48"/>
      <c r="ASO14" s="49"/>
      <c r="ASP14" s="49"/>
      <c r="ASQ14" s="49"/>
      <c r="ASR14" s="49"/>
      <c r="ASS14" s="49"/>
      <c r="AST14" s="67">
        <f t="shared" si="418"/>
        <v>0</v>
      </c>
      <c r="ASU14" s="68">
        <f t="shared" si="419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20"/>
        <v>1625</v>
      </c>
      <c r="ATC14" s="68">
        <f t="shared" si="421"/>
        <v>270.83333333333331</v>
      </c>
      <c r="ATD14" s="48"/>
      <c r="ATE14" s="49"/>
      <c r="ATF14" s="49"/>
      <c r="ATG14" s="49"/>
      <c r="ATH14" s="49"/>
      <c r="ATI14" s="49"/>
      <c r="ATJ14" s="67">
        <f t="shared" si="422"/>
        <v>0</v>
      </c>
      <c r="ATK14" s="68">
        <f t="shared" si="423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4"/>
        <v>200</v>
      </c>
      <c r="ATS14" s="68">
        <f t="shared" si="425"/>
        <v>33.333333333333336</v>
      </c>
      <c r="ATT14" s="48"/>
      <c r="ATU14" s="49"/>
      <c r="ATV14" s="49"/>
      <c r="ATW14" s="49"/>
      <c r="ATX14" s="49"/>
      <c r="ATY14" s="49"/>
      <c r="ATZ14" s="67">
        <f t="shared" si="426"/>
        <v>0</v>
      </c>
      <c r="AUA14" s="68">
        <f t="shared" si="427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8"/>
        <v>1208</v>
      </c>
      <c r="AUI14" s="68">
        <f t="shared" si="429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30"/>
        <v>376</v>
      </c>
      <c r="AUQ14" s="68">
        <f t="shared" si="431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2"/>
        <v>418</v>
      </c>
      <c r="AUY14" s="68">
        <f t="shared" si="433"/>
        <v>69.666666666666671</v>
      </c>
      <c r="AUZ14" s="48"/>
      <c r="AVA14" s="49"/>
      <c r="AVB14" s="49"/>
      <c r="AVC14" s="49"/>
      <c r="AVD14" s="49"/>
      <c r="AVE14" s="49"/>
      <c r="AVF14" s="67">
        <f t="shared" si="434"/>
        <v>0</v>
      </c>
      <c r="AVG14" s="68">
        <f t="shared" si="435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6"/>
        <v>1199</v>
      </c>
      <c r="AVO14" s="68">
        <f t="shared" si="437"/>
        <v>199.83333333333334</v>
      </c>
      <c r="AVP14" s="48"/>
      <c r="AVQ14" s="49"/>
      <c r="AVR14" s="49"/>
      <c r="AVS14" s="49"/>
      <c r="AVT14" s="49"/>
      <c r="AVU14" s="49"/>
      <c r="AVV14" s="67">
        <f t="shared" si="438"/>
        <v>0</v>
      </c>
      <c r="AVW14" s="68">
        <f t="shared" si="439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40"/>
        <v>1207</v>
      </c>
      <c r="AWE14" s="68">
        <f t="shared" si="441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2"/>
        <v>811</v>
      </c>
      <c r="AWM14" s="68">
        <f t="shared" si="443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4"/>
        <v>600</v>
      </c>
      <c r="AWU14" s="43">
        <f t="shared" si="445"/>
        <v>100</v>
      </c>
      <c r="AWV14" s="48"/>
      <c r="AWW14" s="49"/>
      <c r="AWX14" s="49"/>
      <c r="AWY14" s="49"/>
      <c r="AWZ14" s="49"/>
      <c r="AXA14" s="49"/>
      <c r="AXB14" s="42">
        <f t="shared" si="446"/>
        <v>0</v>
      </c>
      <c r="AXC14" s="43">
        <f t="shared" si="447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8"/>
        <v>768</v>
      </c>
      <c r="AXK14" s="43">
        <f t="shared" si="449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50"/>
        <v>401</v>
      </c>
      <c r="AXS14" s="43">
        <f t="shared" si="451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2"/>
        <v>401</v>
      </c>
      <c r="AYA14" s="43">
        <f t="shared" si="453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4"/>
        <v>1204</v>
      </c>
      <c r="AYI14" s="43">
        <f t="shared" si="455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6"/>
        <v>600</v>
      </c>
      <c r="AYQ14" s="43">
        <f t="shared" si="457"/>
        <v>100</v>
      </c>
      <c r="AYR14" s="48"/>
      <c r="AYS14" s="49"/>
      <c r="AYT14" s="49"/>
      <c r="AYU14" s="49"/>
      <c r="AYV14" s="49"/>
      <c r="AYW14" s="49"/>
      <c r="AYX14" s="42">
        <f t="shared" si="458"/>
        <v>0</v>
      </c>
      <c r="AYY14" s="43">
        <f t="shared" si="459"/>
        <v>0</v>
      </c>
      <c r="AYZ14" s="48"/>
      <c r="AZA14" s="49"/>
      <c r="AZB14" s="49"/>
      <c r="AZC14" s="49"/>
      <c r="AZD14" s="49"/>
      <c r="AZE14" s="49"/>
      <c r="AZF14" s="42">
        <f t="shared" si="460"/>
        <v>0</v>
      </c>
      <c r="AZG14" s="43">
        <f t="shared" si="461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2"/>
        <v>600</v>
      </c>
      <c r="AZO14" s="43">
        <f t="shared" si="463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4"/>
        <v>399</v>
      </c>
      <c r="AZW14" s="43">
        <f t="shared" si="465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6"/>
        <v>403</v>
      </c>
      <c r="BAE14" s="43">
        <f t="shared" si="467"/>
        <v>67.166666666666671</v>
      </c>
      <c r="BAF14" s="48"/>
      <c r="BAG14" s="49"/>
      <c r="BAH14" s="49"/>
      <c r="BAI14" s="49"/>
      <c r="BAJ14" s="49"/>
      <c r="BAK14" s="49"/>
      <c r="BAL14" s="42">
        <f t="shared" si="468"/>
        <v>0</v>
      </c>
      <c r="BAM14" s="43">
        <f t="shared" si="469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70"/>
        <v>400</v>
      </c>
      <c r="BAU14" s="43">
        <f t="shared" si="471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2"/>
        <v>400</v>
      </c>
      <c r="BBC14" s="43">
        <f t="shared" si="473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4"/>
        <v>628</v>
      </c>
      <c r="BBK14" s="43">
        <f t="shared" si="475"/>
        <v>104.66666666666667</v>
      </c>
      <c r="BBL14" s="48"/>
      <c r="BBM14" s="49"/>
      <c r="BBN14" s="49"/>
      <c r="BBO14" s="49"/>
      <c r="BBP14" s="49"/>
      <c r="BBQ14" s="49"/>
      <c r="BBR14" s="42">
        <f t="shared" si="476"/>
        <v>0</v>
      </c>
      <c r="BBS14" s="43">
        <f t="shared" si="477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8"/>
        <v>1007</v>
      </c>
      <c r="BCA14" s="43">
        <f t="shared" si="479"/>
        <v>167.83333333333334</v>
      </c>
      <c r="BCB14" s="48"/>
      <c r="BCC14" s="49"/>
      <c r="BCD14" s="49"/>
      <c r="BCE14" s="49"/>
      <c r="BCF14" s="49"/>
      <c r="BCG14" s="49"/>
      <c r="BCH14" s="42">
        <f t="shared" si="480"/>
        <v>0</v>
      </c>
      <c r="BCI14" s="43">
        <f t="shared" si="481"/>
        <v>0</v>
      </c>
      <c r="BCJ14" s="48"/>
      <c r="BCK14" s="49"/>
      <c r="BCL14" s="49"/>
      <c r="BCM14" s="49"/>
      <c r="BCN14" s="49"/>
      <c r="BCO14" s="49"/>
      <c r="BCP14" s="42">
        <f t="shared" si="482"/>
        <v>0</v>
      </c>
      <c r="BCQ14" s="43">
        <f t="shared" si="483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4"/>
        <v>600</v>
      </c>
      <c r="BCY14" s="43">
        <f t="shared" si="485"/>
        <v>100</v>
      </c>
      <c r="BCZ14" s="48"/>
      <c r="BDA14" s="49"/>
      <c r="BDB14" s="49"/>
      <c r="BDC14" s="49"/>
      <c r="BDD14" s="49"/>
      <c r="BDE14" s="49"/>
      <c r="BDF14" s="42">
        <f t="shared" si="486"/>
        <v>0</v>
      </c>
      <c r="BDG14" s="43">
        <f t="shared" si="487"/>
        <v>0</v>
      </c>
      <c r="BDH14" s="48"/>
      <c r="BDI14" s="49"/>
      <c r="BDJ14" s="49"/>
      <c r="BDK14" s="49"/>
      <c r="BDL14" s="49"/>
      <c r="BDM14" s="49"/>
      <c r="BDN14" s="42">
        <f t="shared" si="488"/>
        <v>0</v>
      </c>
      <c r="BDO14" s="43">
        <f t="shared" si="489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90"/>
        <v>939</v>
      </c>
      <c r="BDW14" s="43">
        <f t="shared" si="491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2"/>
        <v>603</v>
      </c>
      <c r="BEE14" s="43">
        <f t="shared" si="493"/>
        <v>100.5</v>
      </c>
      <c r="BEF14" s="48"/>
      <c r="BEG14" s="49"/>
      <c r="BEH14" s="49"/>
      <c r="BEI14" s="49"/>
      <c r="BEJ14" s="49"/>
      <c r="BEK14" s="49"/>
      <c r="BEL14" s="42">
        <f t="shared" si="494"/>
        <v>0</v>
      </c>
      <c r="BEM14" s="43">
        <f t="shared" si="495"/>
        <v>0</v>
      </c>
      <c r="BEN14" s="48"/>
      <c r="BEO14" s="49"/>
      <c r="BEP14" s="49"/>
      <c r="BEQ14" s="49"/>
      <c r="BER14" s="49"/>
      <c r="BES14" s="49"/>
      <c r="BET14" s="42">
        <f t="shared" si="496"/>
        <v>0</v>
      </c>
      <c r="BEU14" s="43">
        <f t="shared" si="497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8"/>
        <v>300</v>
      </c>
      <c r="BFC14" s="43">
        <f t="shared" si="499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500"/>
        <v>600</v>
      </c>
      <c r="BFK14" s="43">
        <f t="shared" si="501"/>
        <v>100</v>
      </c>
      <c r="BFL14" s="48"/>
      <c r="BFM14" s="49"/>
      <c r="BFN14" s="49"/>
      <c r="BFO14" s="49"/>
      <c r="BFP14" s="49"/>
      <c r="BFQ14" s="49"/>
      <c r="BFR14" s="42">
        <f t="shared" si="502"/>
        <v>0</v>
      </c>
      <c r="BFS14" s="43">
        <f t="shared" si="503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4"/>
        <v>665</v>
      </c>
      <c r="BGA14" s="43">
        <f t="shared" si="505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6"/>
        <v>300</v>
      </c>
      <c r="BGI14" s="43">
        <f t="shared" si="507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8"/>
        <v>700</v>
      </c>
      <c r="BGQ14" s="43">
        <f t="shared" si="509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10"/>
        <v>321</v>
      </c>
      <c r="BGY14" s="43">
        <f t="shared" si="511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2"/>
        <v>407</v>
      </c>
      <c r="BHG14" s="43">
        <f t="shared" si="513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4"/>
        <v>298</v>
      </c>
      <c r="BHO14" s="43">
        <f t="shared" si="515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6"/>
        <v>400</v>
      </c>
      <c r="BHW14" s="43">
        <f t="shared" si="517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8"/>
        <v>400</v>
      </c>
      <c r="BIE14" s="43">
        <f t="shared" si="519"/>
        <v>66.666666666666671</v>
      </c>
      <c r="BIF14" s="48"/>
      <c r="BIG14" s="49"/>
      <c r="BIH14" s="49"/>
      <c r="BII14" s="49"/>
      <c r="BIJ14" s="49"/>
      <c r="BIK14" s="49"/>
      <c r="BIL14" s="42">
        <f t="shared" si="520"/>
        <v>0</v>
      </c>
      <c r="BIM14" s="43">
        <f t="shared" si="521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2"/>
        <v>300</v>
      </c>
      <c r="BIU14" s="43">
        <f t="shared" si="523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4"/>
        <v>400</v>
      </c>
      <c r="BJC14" s="43">
        <f t="shared" si="525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6"/>
        <v>300</v>
      </c>
      <c r="BJK14" s="43">
        <f t="shared" si="527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8"/>
        <v>300</v>
      </c>
      <c r="BJS14" s="43">
        <f t="shared" si="529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30"/>
        <v>100</v>
      </c>
      <c r="BKA14" s="43">
        <f t="shared" si="531"/>
        <v>20</v>
      </c>
      <c r="BKB14" s="48"/>
      <c r="BKC14" s="49"/>
      <c r="BKD14" s="49"/>
      <c r="BKE14" s="49"/>
      <c r="BKF14" s="49"/>
      <c r="BKG14" s="49"/>
      <c r="BKH14" s="67">
        <f t="shared" si="532"/>
        <v>0</v>
      </c>
      <c r="BKI14" s="68">
        <f t="shared" si="533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4"/>
        <v>402</v>
      </c>
      <c r="BKQ14" s="43">
        <f t="shared" si="535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6"/>
        <v>196</v>
      </c>
      <c r="BKY14" s="43">
        <f t="shared" si="537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8"/>
        <v>199</v>
      </c>
      <c r="BLG14" s="43">
        <f t="shared" si="539"/>
        <v>33.166666666666664</v>
      </c>
      <c r="BLH14" s="48"/>
      <c r="BLI14" s="49"/>
      <c r="BLJ14" s="49"/>
      <c r="BLK14" s="49"/>
      <c r="BLL14" s="49"/>
      <c r="BLM14" s="49"/>
      <c r="BLN14" s="42">
        <f t="shared" si="540"/>
        <v>0</v>
      </c>
      <c r="BLO14" s="43">
        <f t="shared" si="541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2"/>
        <v>240</v>
      </c>
      <c r="BLW14" s="43">
        <f t="shared" si="543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4"/>
        <v>301</v>
      </c>
      <c r="BME14" s="43">
        <f t="shared" si="545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6"/>
        <v>328</v>
      </c>
      <c r="BMM14" s="43">
        <f t="shared" si="547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8"/>
        <v>220</v>
      </c>
      <c r="BMU14" s="43">
        <f t="shared" si="549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50"/>
        <v>320</v>
      </c>
      <c r="BNC14" s="43">
        <f t="shared" si="551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2"/>
        <v>288</v>
      </c>
      <c r="BNK14" s="43">
        <f t="shared" si="553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4"/>
        <v>423</v>
      </c>
      <c r="BNS14" s="43">
        <f t="shared" si="555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6"/>
        <v>401</v>
      </c>
      <c r="BOA14" s="43">
        <f t="shared" si="557"/>
        <v>66.833333333333329</v>
      </c>
      <c r="BOB14" s="48"/>
      <c r="BOC14" s="49"/>
      <c r="BOD14" s="49"/>
      <c r="BOE14" s="49"/>
      <c r="BOF14" s="49"/>
      <c r="BOG14" s="49"/>
      <c r="BOH14" s="42">
        <f t="shared" si="558"/>
        <v>0</v>
      </c>
      <c r="BOI14" s="43">
        <f t="shared" si="559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60"/>
        <v>370</v>
      </c>
      <c r="BOQ14" s="43">
        <f t="shared" si="561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2"/>
        <v>1006</v>
      </c>
      <c r="BOY14" s="43">
        <f t="shared" si="563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4"/>
        <v>316</v>
      </c>
      <c r="BPG14" s="43">
        <f t="shared" si="565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6"/>
        <v>500</v>
      </c>
      <c r="BPO14" s="43">
        <f t="shared" si="567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8"/>
        <v>300</v>
      </c>
      <c r="BPW14" s="43">
        <f t="shared" si="569"/>
        <v>50</v>
      </c>
      <c r="BPX14" s="48"/>
      <c r="BPY14" s="49"/>
      <c r="BPZ14" s="49"/>
      <c r="BQA14" s="49"/>
      <c r="BQB14" s="49"/>
      <c r="BQC14" s="49"/>
      <c r="BQD14" s="67">
        <f t="shared" si="570"/>
        <v>0</v>
      </c>
      <c r="BQE14" s="43">
        <f t="shared" si="571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2"/>
        <v>350</v>
      </c>
      <c r="BQM14" s="43">
        <f t="shared" si="573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4"/>
        <v>400</v>
      </c>
      <c r="BQU14" s="43">
        <f t="shared" si="575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6"/>
        <v>100</v>
      </c>
      <c r="BRC14" s="43">
        <f t="shared" si="577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8"/>
        <v>328</v>
      </c>
      <c r="BRK14" s="43">
        <f t="shared" si="579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80"/>
        <v>800</v>
      </c>
      <c r="BRS14" s="68">
        <f t="shared" si="581"/>
        <v>133.33333333333334</v>
      </c>
      <c r="BRT14" s="63"/>
      <c r="BRU14" s="64"/>
      <c r="BRV14" s="64"/>
      <c r="BRW14" s="64"/>
      <c r="BRX14" s="64"/>
      <c r="BRY14" s="64"/>
      <c r="BRZ14" s="67">
        <f t="shared" si="582"/>
        <v>0</v>
      </c>
      <c r="BSA14" s="43">
        <f t="shared" si="583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4"/>
        <v>602</v>
      </c>
      <c r="BSI14" s="43">
        <f t="shared" si="585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6"/>
        <v>439</v>
      </c>
      <c r="BSQ14" s="43">
        <f t="shared" si="587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8"/>
        <v>217</v>
      </c>
      <c r="BSY14" s="43">
        <f t="shared" si="589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90"/>
        <v>439</v>
      </c>
      <c r="BTG14" s="43">
        <f t="shared" si="591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2"/>
        <v>204</v>
      </c>
      <c r="BTO14" s="68">
        <f t="shared" si="593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4"/>
        <v>995</v>
      </c>
      <c r="BTW14" s="43">
        <f t="shared" si="595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6"/>
        <v>397</v>
      </c>
      <c r="BUE14" s="68">
        <f t="shared" si="597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8"/>
        <v>433</v>
      </c>
      <c r="BUM14" s="68">
        <f t="shared" si="599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600"/>
        <v>599</v>
      </c>
      <c r="BUU14" s="68">
        <f t="shared" si="601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2"/>
        <v>200</v>
      </c>
      <c r="BVC14" s="68">
        <f t="shared" si="603"/>
        <v>33.333333333333336</v>
      </c>
      <c r="BVD14" s="48"/>
      <c r="BVE14" s="49"/>
      <c r="BVF14" s="49"/>
      <c r="BVG14" s="49"/>
      <c r="BVH14" s="49"/>
      <c r="BVI14" s="49"/>
      <c r="BVJ14" s="67">
        <f t="shared" si="604"/>
        <v>0</v>
      </c>
      <c r="BVK14" s="68">
        <f t="shared" si="605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6"/>
        <v>498</v>
      </c>
      <c r="BVS14" s="68">
        <f t="shared" si="607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8"/>
        <v>600</v>
      </c>
      <c r="BWA14" s="68">
        <f t="shared" si="609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10"/>
        <v>398</v>
      </c>
      <c r="BWI14" s="68">
        <f t="shared" si="611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2"/>
        <v>797</v>
      </c>
      <c r="BWQ14" s="68">
        <f t="shared" si="613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4"/>
        <v>458</v>
      </c>
      <c r="BWY14" s="68">
        <f t="shared" si="615"/>
        <v>76.333333333333329</v>
      </c>
      <c r="BWZ14" s="48"/>
      <c r="BXA14" s="49"/>
      <c r="BXB14" s="49"/>
      <c r="BXC14" s="49"/>
      <c r="BXD14" s="49"/>
      <c r="BXE14" s="49"/>
      <c r="BXF14" s="67">
        <f t="shared" si="616"/>
        <v>0</v>
      </c>
      <c r="BXG14" s="68">
        <f t="shared" si="617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8"/>
        <v>672</v>
      </c>
      <c r="BXO14" s="68">
        <f t="shared" si="619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20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21"/>
        <v>96</v>
      </c>
      <c r="BYE14" s="68">
        <f t="shared" si="622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3"/>
        <v>200</v>
      </c>
      <c r="BYM14" s="68">
        <f t="shared" si="624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5"/>
        <v>599</v>
      </c>
      <c r="BYU14" s="68">
        <f t="shared" si="626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7"/>
        <v>909</v>
      </c>
      <c r="BZC14" s="68">
        <f t="shared" si="628"/>
        <v>151.5</v>
      </c>
      <c r="BZD14" s="48"/>
      <c r="BZE14" s="49"/>
      <c r="BZF14" s="49"/>
      <c r="BZG14" s="49"/>
      <c r="BZH14" s="49"/>
      <c r="BZI14" s="49"/>
      <c r="BZJ14" s="67">
        <f t="shared" si="629"/>
        <v>0</v>
      </c>
      <c r="BZK14" s="68">
        <f t="shared" si="630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31"/>
        <v>398</v>
      </c>
      <c r="BZS14" s="68">
        <f t="shared" si="632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3"/>
        <v>197</v>
      </c>
      <c r="CAA14" s="68">
        <f t="shared" si="634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5"/>
        <v>298</v>
      </c>
      <c r="CAI14" s="68">
        <f t="shared" si="636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7"/>
        <v>298</v>
      </c>
      <c r="CAQ14" s="68">
        <f t="shared" si="638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9"/>
        <v>700</v>
      </c>
      <c r="CAY14" s="68">
        <f t="shared" si="640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41"/>
        <v>99</v>
      </c>
      <c r="CBG14" s="68">
        <f t="shared" si="642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3"/>
        <v>498</v>
      </c>
      <c r="CBO14" s="68">
        <f t="shared" si="644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5"/>
        <v>480</v>
      </c>
      <c r="CBW14" s="68">
        <f t="shared" si="646"/>
        <v>80</v>
      </c>
      <c r="CBX14" s="48"/>
      <c r="CBY14" s="49"/>
      <c r="CBZ14" s="49"/>
      <c r="CCA14" s="49"/>
      <c r="CCB14" s="49"/>
      <c r="CCC14" s="49"/>
      <c r="CCD14" s="67">
        <f t="shared" si="647"/>
        <v>0</v>
      </c>
      <c r="CCE14" s="68">
        <f t="shared" si="648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9"/>
        <v>399</v>
      </c>
      <c r="CCM14" s="68">
        <f t="shared" si="650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51"/>
        <v>402</v>
      </c>
      <c r="CCU14" s="68">
        <f t="shared" si="652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3"/>
        <v>800</v>
      </c>
      <c r="CDC14" s="68">
        <f t="shared" si="654"/>
        <v>133.33333333333334</v>
      </c>
      <c r="CDD14" s="48"/>
      <c r="CDE14" s="49"/>
      <c r="CDF14" s="49"/>
      <c r="CDG14" s="49"/>
      <c r="CDH14" s="49"/>
      <c r="CDI14" s="49"/>
      <c r="CDJ14" s="67">
        <f t="shared" si="655"/>
        <v>0</v>
      </c>
      <c r="CDK14" s="68">
        <f t="shared" si="656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7"/>
        <v>668</v>
      </c>
      <c r="CDS14" s="68">
        <f t="shared" si="658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9"/>
        <v>301</v>
      </c>
      <c r="CEA14" s="68">
        <f t="shared" si="660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61"/>
        <v>421</v>
      </c>
      <c r="CEI14" s="68">
        <f t="shared" si="662"/>
        <v>70.166666666666671</v>
      </c>
      <c r="CEJ14" s="48"/>
      <c r="CEK14" s="49"/>
      <c r="CEL14" s="49"/>
      <c r="CEM14" s="49"/>
      <c r="CEN14" s="49"/>
      <c r="CEO14" s="49"/>
      <c r="CEP14" s="67">
        <f t="shared" si="663"/>
        <v>0</v>
      </c>
      <c r="CEQ14" s="68">
        <f t="shared" si="664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5"/>
        <v>529</v>
      </c>
      <c r="CEY14" s="68">
        <f t="shared" si="666"/>
        <v>88.166666666666671</v>
      </c>
      <c r="CEZ14" s="48"/>
      <c r="CFA14" s="49"/>
      <c r="CFB14" s="49"/>
      <c r="CFC14" s="49"/>
      <c r="CFD14" s="49"/>
      <c r="CFE14" s="49"/>
      <c r="CFF14" s="67">
        <f t="shared" si="667"/>
        <v>0</v>
      </c>
      <c r="CFG14" s="68">
        <f t="shared" si="668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9"/>
        <v>721</v>
      </c>
      <c r="CFO14" s="68">
        <f t="shared" si="670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71"/>
        <v>447</v>
      </c>
      <c r="CFW14" s="68">
        <f t="shared" si="672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3"/>
        <v>400</v>
      </c>
      <c r="CGE14" s="68">
        <f t="shared" si="674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5"/>
        <v>110</v>
      </c>
      <c r="CGM14" s="68">
        <f t="shared" si="676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7"/>
        <v>330</v>
      </c>
      <c r="CGU14" s="68">
        <f t="shared" si="678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9"/>
        <v>327</v>
      </c>
      <c r="CHC14" s="68">
        <f t="shared" si="680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81"/>
        <v>215</v>
      </c>
      <c r="CHK14" s="68">
        <f t="shared" si="682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3"/>
        <v>524</v>
      </c>
      <c r="CHS14" s="68">
        <f t="shared" si="684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5"/>
        <v>1274</v>
      </c>
      <c r="CIA14" s="68">
        <f t="shared" si="686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7"/>
        <v>448</v>
      </c>
      <c r="CII14" s="68">
        <f t="shared" si="688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9"/>
        <v>500</v>
      </c>
      <c r="CIQ14" s="68">
        <f t="shared" si="690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91"/>
        <v>220</v>
      </c>
      <c r="CIY14" s="68">
        <f t="shared" si="692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3"/>
        <v>599</v>
      </c>
      <c r="CJG14" s="68">
        <f t="shared" si="1206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4"/>
        <v>110</v>
      </c>
      <c r="CJO14" s="68">
        <f t="shared" si="695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6"/>
        <v>220</v>
      </c>
      <c r="CJW14" s="68">
        <f t="shared" si="697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8"/>
        <v>220</v>
      </c>
      <c r="CKE14" s="68">
        <f t="shared" si="699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700"/>
        <v>439</v>
      </c>
      <c r="CKM14" s="68">
        <f t="shared" si="701"/>
        <v>73.166666666666671</v>
      </c>
      <c r="CKN14" s="48"/>
      <c r="CKO14" s="49"/>
      <c r="CKP14" s="49"/>
      <c r="CKQ14" s="49"/>
      <c r="CKR14" s="49"/>
      <c r="CKS14" s="47"/>
      <c r="CKT14" s="67">
        <f t="shared" si="702"/>
        <v>0</v>
      </c>
      <c r="CKU14" s="68">
        <f t="shared" si="703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4"/>
        <v>508</v>
      </c>
      <c r="CLC14" s="68">
        <f t="shared" si="705"/>
        <v>84.666666666666671</v>
      </c>
      <c r="CLD14" s="48"/>
      <c r="CLE14" s="49"/>
      <c r="CLF14" s="49"/>
      <c r="CLG14" s="49"/>
      <c r="CLH14" s="49"/>
      <c r="CLI14" s="49"/>
      <c r="CLJ14" s="67">
        <f t="shared" si="706"/>
        <v>0</v>
      </c>
      <c r="CLK14" s="68">
        <f t="shared" si="707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8"/>
        <v>533</v>
      </c>
      <c r="CLS14" s="68">
        <f t="shared" si="709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10"/>
        <v>176</v>
      </c>
      <c r="CMA14" s="68">
        <f t="shared" si="711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2"/>
        <v>437</v>
      </c>
      <c r="CMI14" s="68">
        <f t="shared" si="713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4"/>
        <v>220</v>
      </c>
      <c r="CMQ14" s="68">
        <f t="shared" si="715"/>
        <v>36.666666666666664</v>
      </c>
      <c r="CMR14" s="48"/>
      <c r="CMS14" s="49"/>
      <c r="CMT14" s="49"/>
      <c r="CMU14" s="49"/>
      <c r="CMV14" s="49"/>
      <c r="CMW14" s="49"/>
      <c r="CMX14" s="67">
        <f t="shared" si="716"/>
        <v>0</v>
      </c>
      <c r="CMY14" s="68">
        <f t="shared" si="717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8"/>
        <v>772</v>
      </c>
      <c r="CNG14" s="68">
        <f t="shared" si="719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20"/>
        <v>679</v>
      </c>
      <c r="CNO14" s="68">
        <f t="shared" si="721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2"/>
        <v>329</v>
      </c>
      <c r="CNW14" s="68">
        <f t="shared" si="723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4"/>
        <v>110</v>
      </c>
      <c r="COE14" s="68">
        <f t="shared" si="725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6"/>
        <v>652</v>
      </c>
      <c r="COM14" s="68">
        <f t="shared" si="727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8"/>
        <v>110</v>
      </c>
      <c r="COU14" s="68">
        <f t="shared" si="729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30"/>
        <v>329</v>
      </c>
      <c r="CPC14" s="68">
        <f t="shared" si="731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2"/>
        <v>441</v>
      </c>
      <c r="CPK14" s="68">
        <f t="shared" si="733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4"/>
        <v>0</v>
      </c>
      <c r="CPS14" s="68">
        <f t="shared" si="735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6"/>
        <v>427</v>
      </c>
      <c r="CQA14" s="68">
        <f t="shared" si="737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8"/>
        <v>442</v>
      </c>
      <c r="CQI14" s="68">
        <f t="shared" si="739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40"/>
        <v>211</v>
      </c>
      <c r="CQQ14" s="68">
        <f t="shared" si="741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2"/>
        <v>198</v>
      </c>
      <c r="CQY14" s="68">
        <f t="shared" si="743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4"/>
        <v>440</v>
      </c>
      <c r="CRG14" s="68">
        <f t="shared" si="745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6"/>
        <v>227</v>
      </c>
      <c r="CRO14" s="68">
        <f t="shared" si="747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8"/>
        <v>663</v>
      </c>
      <c r="CRW14" s="68">
        <f t="shared" si="749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50"/>
        <v>0</v>
      </c>
      <c r="CSE14" s="68">
        <f t="shared" si="751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2"/>
        <v>439</v>
      </c>
      <c r="CSM14" s="68">
        <f t="shared" si="753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4"/>
        <v>543</v>
      </c>
      <c r="CSU14" s="68">
        <f t="shared" si="755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6"/>
        <v>220</v>
      </c>
      <c r="CTC14" s="68">
        <f t="shared" si="757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8"/>
        <v>216</v>
      </c>
      <c r="CTK14" s="68">
        <f t="shared" si="759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60"/>
        <v>440</v>
      </c>
      <c r="CTS14" s="68">
        <f t="shared" si="761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2"/>
        <v>841</v>
      </c>
      <c r="CUA14" s="68">
        <f t="shared" si="763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4"/>
        <v>0</v>
      </c>
      <c r="CUI14" s="68">
        <f t="shared" si="765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6"/>
        <v>330</v>
      </c>
      <c r="CUQ14" s="68">
        <f t="shared" si="767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8"/>
        <v>220</v>
      </c>
      <c r="CUY14" s="68">
        <f t="shared" si="769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70"/>
        <v>532</v>
      </c>
      <c r="CVG14" s="68">
        <f t="shared" si="771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2"/>
        <v>439</v>
      </c>
      <c r="CVO14" s="68">
        <f t="shared" si="773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4"/>
        <v>501</v>
      </c>
      <c r="CVW14" s="68">
        <f t="shared" si="775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6"/>
        <v>0</v>
      </c>
      <c r="CWE14" s="68">
        <f t="shared" si="777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8"/>
        <v>332</v>
      </c>
      <c r="CWM14" s="68">
        <f t="shared" si="779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80"/>
        <v>220</v>
      </c>
      <c r="CWU14" s="68">
        <f t="shared" si="781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2"/>
        <v>441</v>
      </c>
      <c r="CXC14" s="43">
        <f t="shared" si="783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4"/>
        <v>330</v>
      </c>
      <c r="CXK14" s="43">
        <f t="shared" si="785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6"/>
        <v>330</v>
      </c>
      <c r="CXS14" s="43">
        <f t="shared" si="787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8"/>
        <v>550</v>
      </c>
      <c r="CYA14" s="43">
        <f t="shared" si="789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90"/>
        <v>330</v>
      </c>
      <c r="CYI14" s="43">
        <f t="shared" si="791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2"/>
        <v>332</v>
      </c>
      <c r="CYQ14" s="43">
        <f t="shared" si="793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4"/>
        <v>330</v>
      </c>
      <c r="CYY14" s="43">
        <f t="shared" si="795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6"/>
        <v>330</v>
      </c>
      <c r="CZG14" s="43">
        <f t="shared" si="797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8"/>
        <v>330</v>
      </c>
      <c r="CZO14" s="43">
        <f t="shared" si="799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800"/>
        <v>0</v>
      </c>
      <c r="CZW14" s="43">
        <f t="shared" si="801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2"/>
        <v>661</v>
      </c>
      <c r="DAE14" s="68">
        <f t="shared" si="803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4"/>
        <v>330</v>
      </c>
      <c r="DAM14" s="68">
        <f t="shared" si="805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6"/>
        <v>624</v>
      </c>
      <c r="DAU14" s="68">
        <f t="shared" si="807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8"/>
        <v>230</v>
      </c>
      <c r="DBC14" s="68">
        <f t="shared" si="809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10"/>
        <v>768</v>
      </c>
      <c r="DBK14" s="68">
        <f t="shared" si="811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2"/>
        <v>221</v>
      </c>
      <c r="DBS14" s="68">
        <f t="shared" si="813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4"/>
        <v>0</v>
      </c>
      <c r="DCA14" s="68">
        <f t="shared" si="815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6"/>
        <v>661</v>
      </c>
      <c r="DCI14" s="68">
        <f t="shared" si="817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8"/>
        <v>118</v>
      </c>
      <c r="DCQ14" s="68">
        <f t="shared" si="819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20"/>
        <v>550</v>
      </c>
      <c r="DCY14" s="68">
        <f t="shared" si="821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2"/>
        <v>221</v>
      </c>
      <c r="DDG14" s="68">
        <f t="shared" si="823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4"/>
        <v>332</v>
      </c>
      <c r="DDO14" s="43">
        <f t="shared" si="825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6"/>
        <v>663</v>
      </c>
      <c r="DDW14" s="43">
        <f t="shared" si="827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8"/>
        <v>350</v>
      </c>
      <c r="DEE14" s="43">
        <f t="shared" si="829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30"/>
        <v>220</v>
      </c>
      <c r="DEM14" s="43">
        <f t="shared" si="831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2"/>
        <v>219</v>
      </c>
      <c r="DEU14" s="43">
        <f t="shared" si="833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4"/>
        <v>550</v>
      </c>
      <c r="DFC14" s="43">
        <f t="shared" si="835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6"/>
        <v>662</v>
      </c>
      <c r="DFK14" s="43">
        <f t="shared" si="837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8"/>
        <v>332</v>
      </c>
      <c r="DFS14" s="68">
        <f t="shared" si="839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40"/>
        <v>220</v>
      </c>
      <c r="DGA14" s="43">
        <f t="shared" si="841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2"/>
        <v>331</v>
      </c>
      <c r="DGI14" s="43">
        <f t="shared" si="843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4"/>
        <v>659</v>
      </c>
      <c r="DGQ14" s="68">
        <f t="shared" si="845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6"/>
        <v>110</v>
      </c>
      <c r="DGY14" s="68">
        <f t="shared" si="847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8"/>
        <v>439</v>
      </c>
      <c r="DHG14" s="68">
        <f t="shared" si="849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50"/>
        <v>332</v>
      </c>
      <c r="DHO14" s="68">
        <f t="shared" si="851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2"/>
        <v>442</v>
      </c>
      <c r="DHW14" s="68">
        <f t="shared" si="853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4"/>
        <v>339</v>
      </c>
      <c r="DIE14" s="68">
        <f t="shared" si="855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6"/>
        <v>328</v>
      </c>
      <c r="DIM14" s="68">
        <f t="shared" si="857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8"/>
        <v>330</v>
      </c>
      <c r="DIU14" s="68">
        <f t="shared" si="859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60"/>
        <v>440</v>
      </c>
      <c r="DJC14" s="68">
        <f t="shared" si="861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2"/>
        <v>330</v>
      </c>
      <c r="DJK14" s="68">
        <f t="shared" si="863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4"/>
        <v>330</v>
      </c>
      <c r="DJS14" s="68">
        <f t="shared" si="865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6"/>
        <v>220</v>
      </c>
      <c r="DKA14" s="68">
        <f t="shared" si="867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8"/>
        <v>442</v>
      </c>
      <c r="DKI14" s="68">
        <f t="shared" si="869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70"/>
        <v>330</v>
      </c>
      <c r="DKQ14" s="68">
        <f t="shared" si="871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2"/>
        <v>220</v>
      </c>
      <c r="DKY14" s="68">
        <f t="shared" si="873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4"/>
        <v>110</v>
      </c>
      <c r="DLG14" s="68">
        <f t="shared" si="875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6"/>
        <v>220</v>
      </c>
      <c r="DLO14" s="68">
        <f t="shared" si="877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8"/>
        <v>455</v>
      </c>
      <c r="DLW14" s="68">
        <f t="shared" si="879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80"/>
        <v>110</v>
      </c>
      <c r="DME14" s="68">
        <f t="shared" si="881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2"/>
        <v>200</v>
      </c>
      <c r="DMM14" s="68">
        <f t="shared" si="883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4"/>
        <v>220</v>
      </c>
      <c r="DMU14" s="68">
        <f t="shared" si="885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6"/>
        <v>280</v>
      </c>
      <c r="DNC14" s="68">
        <f t="shared" si="887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8"/>
        <v>660</v>
      </c>
      <c r="DNK14" s="68">
        <f t="shared" si="889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90"/>
        <v>0</v>
      </c>
      <c r="DNS14" s="68">
        <f t="shared" si="891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2"/>
        <v>214</v>
      </c>
      <c r="DOA14" s="68">
        <f t="shared" si="893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4"/>
        <v>220</v>
      </c>
      <c r="DOI14" s="68">
        <f t="shared" si="895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6"/>
        <v>221</v>
      </c>
      <c r="DOQ14" s="68">
        <f t="shared" si="897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8"/>
        <v>220</v>
      </c>
      <c r="DOY14" s="68">
        <f t="shared" si="899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900"/>
        <v>221</v>
      </c>
      <c r="DPG14" s="68">
        <f t="shared" si="901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2"/>
        <v>221</v>
      </c>
      <c r="DPO14" s="68">
        <f t="shared" si="903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4"/>
        <v>330</v>
      </c>
      <c r="DPW14" s="492">
        <f t="shared" si="905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6"/>
        <v>721</v>
      </c>
      <c r="DQE14" s="492">
        <f t="shared" si="907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8"/>
        <v>329</v>
      </c>
      <c r="DQM14" s="492">
        <f t="shared" si="909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10"/>
        <v>0</v>
      </c>
      <c r="DQU14" s="68">
        <f t="shared" si="911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2"/>
        <v>312</v>
      </c>
      <c r="DRC14" s="492">
        <f t="shared" si="913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4"/>
        <v>551</v>
      </c>
      <c r="DRK14" s="492">
        <f t="shared" si="915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6"/>
        <v>220</v>
      </c>
      <c r="DRS14" s="68">
        <f t="shared" si="917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8"/>
        <v>423</v>
      </c>
      <c r="DSA14" s="68">
        <f t="shared" si="919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20"/>
        <v>330</v>
      </c>
      <c r="DSI14" s="68">
        <f t="shared" si="921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2"/>
        <v>215</v>
      </c>
      <c r="DSQ14" s="68">
        <f t="shared" si="923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4"/>
        <v>463</v>
      </c>
      <c r="DSY14" s="68">
        <f t="shared" si="925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6"/>
        <v>400</v>
      </c>
      <c r="DTG14" s="68">
        <f t="shared" si="927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8"/>
        <v>510</v>
      </c>
      <c r="DTO14" s="68">
        <f t="shared" si="929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30"/>
        <v>438</v>
      </c>
      <c r="DTW14" s="68">
        <f t="shared" si="931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2"/>
        <v>219</v>
      </c>
      <c r="DUE14" s="68">
        <f t="shared" si="933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4"/>
        <v>332</v>
      </c>
      <c r="DUM14" s="68">
        <f t="shared" si="935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6"/>
        <v>222</v>
      </c>
      <c r="DUU14" s="184">
        <f t="shared" si="937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8"/>
        <v>0</v>
      </c>
      <c r="DVC14" s="68">
        <f t="shared" si="939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40"/>
        <v>490</v>
      </c>
      <c r="DVK14" s="68">
        <f t="shared" si="941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2"/>
        <v>220</v>
      </c>
      <c r="DVS14" s="68">
        <f t="shared" si="943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4"/>
        <v>342</v>
      </c>
      <c r="DWA14" s="68">
        <f t="shared" si="945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6"/>
        <v>0</v>
      </c>
      <c r="DWI14" s="68">
        <f t="shared" si="947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8"/>
        <v>0</v>
      </c>
      <c r="DWQ14" s="68">
        <f t="shared" si="949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50"/>
        <v>201</v>
      </c>
      <c r="DWY14" s="68">
        <f t="shared" si="1207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51"/>
        <v>221</v>
      </c>
      <c r="DXG14" s="68">
        <f t="shared" si="952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3"/>
        <v>110</v>
      </c>
      <c r="DXO14" s="68">
        <f t="shared" si="954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5"/>
        <v>110</v>
      </c>
      <c r="DXW14" s="68">
        <f t="shared" si="956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7"/>
        <v>0</v>
      </c>
      <c r="DYE14" s="68">
        <f t="shared" si="958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9"/>
        <v>100</v>
      </c>
      <c r="DYM14" s="68">
        <f t="shared" si="960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61"/>
        <v>220</v>
      </c>
      <c r="DYU14" s="68">
        <f t="shared" si="962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3"/>
        <v>0</v>
      </c>
      <c r="DZC14" s="68">
        <f t="shared" si="964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5"/>
        <v>222</v>
      </c>
      <c r="DZK14" s="68">
        <f t="shared" si="966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7"/>
        <v>101</v>
      </c>
      <c r="DZS14" s="68">
        <f t="shared" si="968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9"/>
        <v>67</v>
      </c>
      <c r="EAA14" s="68">
        <f t="shared" si="970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71"/>
        <v>0</v>
      </c>
      <c r="EAI14" s="68">
        <f t="shared" si="972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3"/>
        <v>220</v>
      </c>
      <c r="EAQ14" s="68">
        <f t="shared" si="1208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4"/>
        <v>110</v>
      </c>
      <c r="EAY14" s="68">
        <f t="shared" si="975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6"/>
        <v>110</v>
      </c>
      <c r="EBG14" s="68">
        <f t="shared" si="977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8"/>
        <v>110</v>
      </c>
      <c r="EBO14" s="68">
        <f t="shared" si="1137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9"/>
        <v>0</v>
      </c>
      <c r="EBW14" s="68">
        <f t="shared" si="980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81"/>
        <v>272</v>
      </c>
      <c r="ECE14" s="68">
        <f t="shared" si="982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3"/>
        <v>218</v>
      </c>
      <c r="ECM14" s="68">
        <f t="shared" si="984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5"/>
        <v>443</v>
      </c>
      <c r="ECU14" s="68">
        <f t="shared" si="986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7"/>
        <v>513</v>
      </c>
      <c r="EDC14" s="68">
        <f t="shared" si="988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9"/>
        <v>294</v>
      </c>
      <c r="EDK14" s="68">
        <f t="shared" si="990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91"/>
        <v>439</v>
      </c>
      <c r="EDS14" s="184">
        <f t="shared" si="992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3"/>
        <v>282</v>
      </c>
      <c r="EEA14" s="184">
        <f t="shared" si="994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5"/>
        <v>367</v>
      </c>
      <c r="EEI14" s="68">
        <f t="shared" si="996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7"/>
        <v>110</v>
      </c>
      <c r="EEQ14" s="68">
        <f t="shared" si="998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9"/>
        <v>284</v>
      </c>
      <c r="EEY14" s="68">
        <f t="shared" si="1000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1001"/>
        <v>612</v>
      </c>
      <c r="EFG14" s="68">
        <f t="shared" si="1002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3"/>
        <v>277</v>
      </c>
      <c r="EFO14" s="68">
        <f t="shared" si="1004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5"/>
        <v>143</v>
      </c>
      <c r="EFW14" s="68">
        <f t="shared" si="1006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7"/>
        <v>321</v>
      </c>
      <c r="EGE14" s="68">
        <f t="shared" si="1008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9"/>
        <v>510</v>
      </c>
      <c r="EGM14" s="68">
        <f t="shared" si="1010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11"/>
        <v>220</v>
      </c>
      <c r="EGU14" s="68">
        <f t="shared" si="1209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2"/>
        <v>110</v>
      </c>
      <c r="EHC14" s="68">
        <f t="shared" si="1013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4"/>
        <v>260</v>
      </c>
      <c r="EHK14" s="68">
        <f t="shared" si="1015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6"/>
        <v>118</v>
      </c>
      <c r="EHS14" s="68">
        <f t="shared" si="1017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8"/>
        <v>338</v>
      </c>
      <c r="EIA14" s="68">
        <f t="shared" si="1019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20"/>
        <v>227</v>
      </c>
      <c r="EII14" s="68">
        <f t="shared" si="1021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2"/>
        <v>342</v>
      </c>
      <c r="EIQ14" s="68">
        <f t="shared" si="1023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4"/>
        <v>0</v>
      </c>
      <c r="EIY14" s="68">
        <f t="shared" si="1025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6"/>
        <v>221</v>
      </c>
      <c r="EJG14" s="68">
        <f t="shared" si="1027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8"/>
        <v>0</v>
      </c>
      <c r="EJO14" s="68">
        <f t="shared" si="1029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30"/>
        <v>0</v>
      </c>
      <c r="EJW14" s="68">
        <f t="shared" si="1031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2"/>
        <v>0</v>
      </c>
      <c r="EKE14" s="68">
        <f t="shared" si="1033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4"/>
        <v>0</v>
      </c>
      <c r="EKM14" s="68">
        <f t="shared" si="1035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6"/>
        <v>0</v>
      </c>
      <c r="EKU14" s="184">
        <f t="shared" si="1037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8"/>
        <v>0</v>
      </c>
      <c r="ELD14" s="211">
        <f t="shared" si="1039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40"/>
        <v>0</v>
      </c>
      <c r="ELL14" s="211">
        <f t="shared" si="1041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2"/>
        <v>0</v>
      </c>
      <c r="ELT14" s="211">
        <f t="shared" si="1043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4"/>
        <v>463</v>
      </c>
      <c r="EMB14" s="211">
        <f t="shared" si="1045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6"/>
        <v>128</v>
      </c>
      <c r="EMJ14" s="211">
        <f t="shared" si="1047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8"/>
        <v>0</v>
      </c>
      <c r="EMR14" s="211">
        <f t="shared" si="1049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50"/>
        <v>245</v>
      </c>
      <c r="EMZ14" s="211">
        <f t="shared" si="1051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2"/>
        <v>0</v>
      </c>
      <c r="ENH14" s="211">
        <f t="shared" si="1053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4"/>
        <v>220</v>
      </c>
      <c r="ENP14" s="211">
        <f t="shared" si="1055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6"/>
        <v>110</v>
      </c>
      <c r="ENX14" s="211">
        <f t="shared" si="1057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8"/>
        <v>438</v>
      </c>
      <c r="EOF14" s="211">
        <f t="shared" si="1059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60"/>
        <v>0</v>
      </c>
      <c r="EON14" s="211">
        <f t="shared" si="1061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2"/>
        <v>158</v>
      </c>
      <c r="EOV14" s="211">
        <f t="shared" si="1063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4"/>
        <v>220</v>
      </c>
      <c r="EPD14" s="211">
        <f t="shared" si="1065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6"/>
        <v>220</v>
      </c>
      <c r="EPL14" s="211">
        <f t="shared" si="1067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8"/>
        <v>109</v>
      </c>
      <c r="EPT14" s="211">
        <f t="shared" si="1069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70"/>
        <v>558</v>
      </c>
      <c r="EQB14" s="211">
        <f t="shared" si="1071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2"/>
        <v>110</v>
      </c>
      <c r="EQJ14" s="211">
        <f t="shared" si="1073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4"/>
        <v>383</v>
      </c>
      <c r="EQR14" s="211">
        <f t="shared" si="1075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6"/>
        <v>0</v>
      </c>
      <c r="EQZ14" s="211">
        <f t="shared" si="1077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8"/>
        <v>469</v>
      </c>
      <c r="ERH14" s="211">
        <f t="shared" si="1079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80"/>
        <v>0</v>
      </c>
      <c r="ERP14" s="211">
        <f t="shared" si="1081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2"/>
        <v>219</v>
      </c>
      <c r="ERX14" s="211">
        <f t="shared" si="1083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4"/>
        <v>110</v>
      </c>
      <c r="ESF14" s="211">
        <f t="shared" si="1085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6"/>
        <v>219</v>
      </c>
      <c r="ESN14" s="211">
        <f t="shared" si="1087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8"/>
        <v>260</v>
      </c>
      <c r="ESV14" s="211">
        <f t="shared" si="1089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90"/>
        <v>330</v>
      </c>
      <c r="ETD14" s="211">
        <f t="shared" si="1091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2"/>
        <v>0</v>
      </c>
      <c r="ETL14" s="211">
        <f t="shared" si="1093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4"/>
        <v>452</v>
      </c>
      <c r="ETT14" s="211">
        <f t="shared" si="1095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6"/>
        <v>342</v>
      </c>
      <c r="EUB14" s="211">
        <f t="shared" si="1097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8"/>
        <v>224</v>
      </c>
      <c r="EUJ14" s="211">
        <f t="shared" si="1099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100"/>
        <v>0</v>
      </c>
      <c r="EUR14" s="211">
        <f t="shared" si="1101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2"/>
        <v>0</v>
      </c>
      <c r="EUZ14" s="211">
        <f t="shared" si="1103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4"/>
        <v>0</v>
      </c>
      <c r="EVH14" s="211">
        <f t="shared" si="1105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6"/>
        <v>0</v>
      </c>
      <c r="EVP14" s="211">
        <f t="shared" si="1107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8"/>
        <v>0</v>
      </c>
      <c r="EVX14" s="211">
        <f t="shared" si="1109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10"/>
        <v>0</v>
      </c>
      <c r="EWF14" s="211">
        <f t="shared" si="1111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2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3"/>
        <v>0</v>
      </c>
      <c r="EWV14" s="211">
        <f t="shared" si="1114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5"/>
        <v>0</v>
      </c>
      <c r="EXD14" s="211">
        <f t="shared" si="1116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7"/>
        <v>0</v>
      </c>
      <c r="EXL14" s="211">
        <f t="shared" si="1118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9"/>
        <v>0</v>
      </c>
      <c r="EXT14" s="211">
        <f t="shared" si="1120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21"/>
        <v>0</v>
      </c>
      <c r="EYB14" s="211">
        <f t="shared" si="1122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3"/>
        <v>0</v>
      </c>
      <c r="EYJ14" s="211">
        <f t="shared" si="1124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5"/>
        <v>0</v>
      </c>
      <c r="EYR14" s="211">
        <f t="shared" si="1126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7"/>
        <v>0</v>
      </c>
      <c r="EYZ14" s="873">
        <f t="shared" si="1128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9"/>
        <v>0</v>
      </c>
      <c r="EZH14" s="873">
        <f t="shared" si="1130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>
        <v>0</v>
      </c>
      <c r="EZO14" s="872">
        <f t="shared" si="1131"/>
        <v>0</v>
      </c>
      <c r="EZP14" s="873">
        <f t="shared" si="1132"/>
        <v>0</v>
      </c>
      <c r="EZQ14" s="458">
        <v>0</v>
      </c>
      <c r="EZR14" s="83"/>
      <c r="EZS14" s="83">
        <v>0</v>
      </c>
      <c r="EZT14" s="83"/>
      <c r="EZU14" s="83"/>
      <c r="EZV14" s="83">
        <v>0</v>
      </c>
      <c r="EZW14" s="872">
        <f t="shared" si="1133"/>
        <v>0</v>
      </c>
      <c r="EZX14" s="873">
        <f t="shared" si="1134"/>
        <v>0</v>
      </c>
      <c r="EZY14" s="195">
        <v>0</v>
      </c>
      <c r="EZZ14" s="49">
        <v>0</v>
      </c>
      <c r="FAA14" s="49"/>
      <c r="FAB14" s="49"/>
      <c r="FAC14" s="49"/>
      <c r="FAD14" s="49"/>
      <c r="FAE14" s="872">
        <f t="shared" si="1135"/>
        <v>0</v>
      </c>
      <c r="FAF14" s="873">
        <f t="shared" si="1136"/>
        <v>0</v>
      </c>
    </row>
    <row r="15" spans="1:4088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0</v>
      </c>
      <c r="G15" s="24"/>
      <c r="H15" s="24">
        <v>1736</v>
      </c>
      <c r="I15" s="360"/>
      <c r="J15" s="360">
        <f>SUMIF(SUMPK!$B:$B,$B:$B,SUMPK!$O:$O)</f>
        <v>0</v>
      </c>
      <c r="K15" s="15">
        <f t="shared" si="1210"/>
        <v>0</v>
      </c>
      <c r="L15" s="24">
        <f t="shared" si="189"/>
        <v>1736</v>
      </c>
      <c r="M15" s="24">
        <f t="shared" si="190"/>
        <v>1736</v>
      </c>
      <c r="N15" s="15">
        <v>103.16666666666667</v>
      </c>
      <c r="O15" s="276">
        <f t="shared" si="191"/>
        <v>16.827140549273022</v>
      </c>
      <c r="P15" s="712">
        <v>367.16666666666669</v>
      </c>
      <c r="Q15" s="276">
        <f t="shared" si="192"/>
        <v>28.368588288697225</v>
      </c>
      <c r="R15" s="277">
        <f t="shared" si="193"/>
        <v>184.61538461538461</v>
      </c>
      <c r="S15" s="222">
        <v>4800</v>
      </c>
      <c r="T15" s="276">
        <f t="shared" si="194"/>
        <v>9.4033333333333342</v>
      </c>
      <c r="U15" s="303"/>
      <c r="V15" s="302">
        <f t="shared" si="195"/>
        <v>9.4033333333333342</v>
      </c>
      <c r="W15" s="304" t="e">
        <f t="shared" si="0"/>
        <v>#DIV/0!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43"/>
        <v>4193</v>
      </c>
      <c r="AK15" s="43">
        <f t="shared" si="1144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45"/>
        <v>1197</v>
      </c>
      <c r="AS15" s="43">
        <f t="shared" si="1146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7"/>
        <v>2727</v>
      </c>
      <c r="BA15" s="43">
        <f t="shared" si="1148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9"/>
        <v>4777</v>
      </c>
      <c r="BI15" s="43">
        <f t="shared" si="1150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51"/>
        <v>3314</v>
      </c>
      <c r="BQ15" s="43">
        <f t="shared" si="1152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53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54"/>
        <v>2077</v>
      </c>
      <c r="CG15" s="43">
        <f t="shared" si="1155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6"/>
        <v>2339</v>
      </c>
      <c r="CO15" s="43">
        <f t="shared" si="1157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8"/>
        <v>3295</v>
      </c>
      <c r="CW15" s="43">
        <f t="shared" si="1159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60"/>
        <v>1163</v>
      </c>
      <c r="DE15" s="43">
        <f t="shared" si="1161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62"/>
        <v>1602</v>
      </c>
      <c r="DM15" s="43">
        <f t="shared" si="1163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64"/>
        <v>1597</v>
      </c>
      <c r="DU15" s="43">
        <f t="shared" si="1165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6"/>
        <v>2185</v>
      </c>
      <c r="EC15" s="43">
        <f t="shared" si="1167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8"/>
        <v>2800</v>
      </c>
      <c r="EK15" s="43">
        <f t="shared" si="1169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70"/>
        <v>2043</v>
      </c>
      <c r="ES15" s="43">
        <f t="shared" si="1171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72"/>
        <v>1600</v>
      </c>
      <c r="FA15" s="43">
        <f t="shared" si="1173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74"/>
        <v>3208</v>
      </c>
      <c r="FI15" s="43">
        <f t="shared" si="1175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6"/>
        <v>1979</v>
      </c>
      <c r="FQ15" s="43">
        <f t="shared" si="1177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8"/>
        <v>3486</v>
      </c>
      <c r="FY15" s="43">
        <f t="shared" si="1179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80"/>
        <v>2592</v>
      </c>
      <c r="GG15" s="43">
        <f t="shared" si="1181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82"/>
        <v>1173</v>
      </c>
      <c r="GO15" s="43">
        <f t="shared" si="1183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84"/>
        <v>2979</v>
      </c>
      <c r="GW15" s="43">
        <f t="shared" si="1185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6"/>
        <v>3959</v>
      </c>
      <c r="HE15" s="43">
        <f t="shared" si="1187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8"/>
        <v>2399</v>
      </c>
      <c r="HM15" s="43">
        <f t="shared" si="1189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90"/>
        <v>2833</v>
      </c>
      <c r="HU15" s="43">
        <f t="shared" si="1191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92"/>
        <v>2760</v>
      </c>
      <c r="IC15" s="43">
        <f t="shared" si="1193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94"/>
        <v>3667</v>
      </c>
      <c r="IK15" s="43">
        <f t="shared" si="1195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6"/>
        <v>1200</v>
      </c>
      <c r="IS15" s="68">
        <f t="shared" si="1197"/>
        <v>200</v>
      </c>
      <c r="IT15" s="48"/>
      <c r="IU15" s="49"/>
      <c r="IV15" s="49"/>
      <c r="IW15" s="49"/>
      <c r="IX15" s="49"/>
      <c r="IY15" s="49"/>
      <c r="IZ15" s="67">
        <f t="shared" si="1198"/>
        <v>0</v>
      </c>
      <c r="JA15" s="68">
        <f t="shared" si="1199"/>
        <v>0</v>
      </c>
      <c r="JB15" s="48"/>
      <c r="JC15" s="49"/>
      <c r="JD15" s="49"/>
      <c r="JE15" s="49">
        <v>1307</v>
      </c>
      <c r="JF15" s="49"/>
      <c r="JG15" s="49"/>
      <c r="JH15" s="67">
        <f t="shared" si="1200"/>
        <v>1307</v>
      </c>
      <c r="JI15" s="68">
        <f t="shared" si="1201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202"/>
        <v>1659</v>
      </c>
      <c r="JQ15" s="43">
        <f t="shared" si="1203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204"/>
        <v>4571</v>
      </c>
      <c r="JY15" s="43">
        <f t="shared" si="1205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6"/>
        <v>2091</v>
      </c>
      <c r="KG15" s="43">
        <f t="shared" si="197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8"/>
        <v>800</v>
      </c>
      <c r="KO15" s="68">
        <f t="shared" si="199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200"/>
        <v>3537</v>
      </c>
      <c r="KW15" s="68">
        <f t="shared" si="201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2"/>
        <v>1783</v>
      </c>
      <c r="LE15" s="68">
        <f t="shared" si="203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4"/>
        <v>1915</v>
      </c>
      <c r="LM15" s="68">
        <f t="shared" si="205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6"/>
        <v>3652</v>
      </c>
      <c r="LU15" s="68">
        <f t="shared" si="207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8"/>
        <v>1996</v>
      </c>
      <c r="MC15" s="68">
        <f t="shared" si="209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10"/>
        <v>3193</v>
      </c>
      <c r="MK15" s="68">
        <f t="shared" si="211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2"/>
        <v>2774</v>
      </c>
      <c r="MS15" s="68">
        <f t="shared" si="213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4"/>
        <v>2764</v>
      </c>
      <c r="NA15" s="68">
        <f t="shared" si="215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6"/>
        <v>2808</v>
      </c>
      <c r="NI15" s="68">
        <f t="shared" si="217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8"/>
        <v>4335</v>
      </c>
      <c r="NQ15" s="68">
        <f t="shared" si="219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20"/>
        <v>1190</v>
      </c>
      <c r="NY15" s="68">
        <f t="shared" si="221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2"/>
        <v>3001</v>
      </c>
      <c r="OG15" s="68">
        <f t="shared" si="223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4"/>
        <v>1378</v>
      </c>
      <c r="OO15" s="68">
        <f t="shared" si="225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6"/>
        <v>3170</v>
      </c>
      <c r="OW15" s="68">
        <f t="shared" si="227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8"/>
        <v>2435</v>
      </c>
      <c r="PE15" s="68">
        <f t="shared" si="229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30"/>
        <v>2423</v>
      </c>
      <c r="PM15" s="68">
        <f t="shared" si="231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2"/>
        <v>1188</v>
      </c>
      <c r="PU15" s="105">
        <f t="shared" si="233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4"/>
        <v>2624</v>
      </c>
      <c r="QC15" s="105">
        <f t="shared" si="235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6"/>
        <v>3332</v>
      </c>
      <c r="QK15" s="105">
        <f t="shared" si="237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8"/>
        <v>2250</v>
      </c>
      <c r="QS15" s="105">
        <f t="shared" si="239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40"/>
        <v>2527</v>
      </c>
      <c r="RA15" s="105">
        <f t="shared" si="241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2"/>
        <v>1041</v>
      </c>
      <c r="RI15" s="105">
        <f t="shared" si="243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4"/>
        <v>3170</v>
      </c>
      <c r="RQ15" s="105">
        <f t="shared" si="245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6"/>
        <v>1585</v>
      </c>
      <c r="RY15" s="105">
        <f t="shared" si="247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8"/>
        <v>3836</v>
      </c>
      <c r="SG15" s="105">
        <f t="shared" si="249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50"/>
        <v>1718</v>
      </c>
      <c r="SO15" s="105">
        <f t="shared" si="251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2"/>
        <v>4656</v>
      </c>
      <c r="SW15" s="105">
        <f t="shared" si="253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4"/>
        <v>897</v>
      </c>
      <c r="TE15" s="105">
        <f t="shared" si="255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6"/>
        <v>708</v>
      </c>
      <c r="TM15" s="105">
        <f t="shared" si="257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8"/>
        <v>2806</v>
      </c>
      <c r="TU15" s="105">
        <f t="shared" si="259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60"/>
        <v>4115</v>
      </c>
      <c r="UC15" s="105">
        <f t="shared" si="261"/>
        <v>685.83333333333337</v>
      </c>
      <c r="UD15" s="106"/>
      <c r="UE15" s="107"/>
      <c r="UF15" s="107"/>
      <c r="UG15" s="107"/>
      <c r="UH15" s="107"/>
      <c r="UI15" s="107"/>
      <c r="UJ15" s="104">
        <f t="shared" si="262"/>
        <v>0</v>
      </c>
      <c r="UK15" s="105">
        <f t="shared" si="263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4"/>
        <v>2057</v>
      </c>
      <c r="UT15" s="105">
        <f t="shared" si="265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6"/>
        <v>1000</v>
      </c>
      <c r="VB15" s="105">
        <f t="shared" si="267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8"/>
        <v>2087</v>
      </c>
      <c r="VJ15" s="105">
        <f t="shared" si="269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70"/>
        <v>2823</v>
      </c>
      <c r="VR15" s="105">
        <f t="shared" si="271"/>
        <v>470.5</v>
      </c>
      <c r="VS15" s="106"/>
      <c r="VT15" s="107"/>
      <c r="VU15" s="107"/>
      <c r="VV15" s="107"/>
      <c r="VW15" s="107"/>
      <c r="VX15" s="107"/>
      <c r="VY15" s="104">
        <f t="shared" si="272"/>
        <v>0</v>
      </c>
      <c r="VZ15" s="105">
        <f t="shared" si="273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4"/>
        <v>1600</v>
      </c>
      <c r="WH15" s="68">
        <f t="shared" si="275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6"/>
        <v>1213</v>
      </c>
      <c r="WP15" s="68">
        <f t="shared" si="277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8"/>
        <v>1800</v>
      </c>
      <c r="WY15" s="68">
        <f t="shared" si="279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80"/>
        <v>2023</v>
      </c>
      <c r="XH15" s="68">
        <f t="shared" si="281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2"/>
        <v>1494</v>
      </c>
      <c r="XQ15" s="105">
        <f t="shared" si="283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4"/>
        <v>2750</v>
      </c>
      <c r="XZ15" s="68">
        <f t="shared" si="285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6"/>
        <v>1797</v>
      </c>
      <c r="YI15" s="68">
        <f t="shared" si="287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8"/>
        <v>2169</v>
      </c>
      <c r="YR15" s="68">
        <f t="shared" si="289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90"/>
        <v>1200</v>
      </c>
      <c r="YZ15" s="68">
        <f t="shared" si="291"/>
        <v>200</v>
      </c>
      <c r="ZA15" s="48"/>
      <c r="ZB15" s="49"/>
      <c r="ZC15" s="49"/>
      <c r="ZD15" s="49"/>
      <c r="ZE15" s="49"/>
      <c r="ZF15" s="49"/>
      <c r="ZG15" s="67">
        <f t="shared" si="292"/>
        <v>0</v>
      </c>
      <c r="ZH15" s="68">
        <f t="shared" si="293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4"/>
        <v>2399</v>
      </c>
      <c r="ZP15" s="68">
        <f t="shared" si="295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6"/>
        <v>1797</v>
      </c>
      <c r="ZY15" s="68">
        <f t="shared" si="297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8"/>
        <v>2615</v>
      </c>
      <c r="AAH15" s="68">
        <f t="shared" si="299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300"/>
        <v>1779</v>
      </c>
      <c r="AAP15" s="68">
        <f t="shared" si="301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2"/>
        <v>1597</v>
      </c>
      <c r="AAX15" s="68">
        <f t="shared" si="303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4"/>
        <v>2104</v>
      </c>
      <c r="ABF15" s="68">
        <f t="shared" si="305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6"/>
        <v>674</v>
      </c>
      <c r="ABN15" s="68">
        <f t="shared" si="307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8"/>
        <v>1906</v>
      </c>
      <c r="ABV15" s="68">
        <f t="shared" si="309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10"/>
        <v>789</v>
      </c>
      <c r="ACD15" s="68">
        <f t="shared" si="311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2"/>
        <v>3004</v>
      </c>
      <c r="ACL15" s="68">
        <f t="shared" si="313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4"/>
        <v>422</v>
      </c>
      <c r="ACT15" s="68">
        <f t="shared" si="315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6"/>
        <v>1818</v>
      </c>
      <c r="ADB15" s="68">
        <f t="shared" si="317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8"/>
        <v>440</v>
      </c>
      <c r="ADJ15" s="68">
        <f t="shared" si="319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20"/>
        <v>3462</v>
      </c>
      <c r="ADR15" s="68">
        <f t="shared" si="321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2"/>
        <v>800</v>
      </c>
      <c r="ADZ15" s="68">
        <f t="shared" si="323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4"/>
        <v>1470</v>
      </c>
      <c r="AEH15" s="68">
        <f t="shared" si="325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6"/>
        <v>761</v>
      </c>
      <c r="AEP15" s="68">
        <f t="shared" si="327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8"/>
        <v>791</v>
      </c>
      <c r="AEX15" s="68">
        <f t="shared" si="329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30"/>
        <v>1375</v>
      </c>
      <c r="AFF15" s="68">
        <f t="shared" si="331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2"/>
        <v>1764</v>
      </c>
      <c r="AFN15" s="68">
        <f t="shared" si="333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4"/>
        <v>1341</v>
      </c>
      <c r="AFV15" s="68">
        <f t="shared" si="335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6"/>
        <v>374</v>
      </c>
      <c r="AGD15" s="68">
        <f t="shared" si="337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8"/>
        <v>1658</v>
      </c>
      <c r="AGL15" s="68">
        <f t="shared" si="339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40"/>
        <v>844</v>
      </c>
      <c r="AGU15" s="68">
        <f t="shared" si="341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2"/>
        <v>1567</v>
      </c>
      <c r="AHC15" s="68">
        <f t="shared" si="343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4"/>
        <v>1275</v>
      </c>
      <c r="AHK15" s="68">
        <f t="shared" si="345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6"/>
        <v>1001</v>
      </c>
      <c r="AHS15" s="68">
        <f t="shared" si="347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8"/>
        <v>1330</v>
      </c>
      <c r="AIA15" s="68">
        <f t="shared" si="349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50"/>
        <v>1210</v>
      </c>
      <c r="AII15" s="68">
        <f t="shared" si="351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2"/>
        <v>1082</v>
      </c>
      <c r="AIQ15" s="68">
        <f t="shared" si="353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4"/>
        <v>1600</v>
      </c>
      <c r="AIY15" s="68">
        <f t="shared" si="355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6"/>
        <v>2427</v>
      </c>
      <c r="AJG15" s="68">
        <f t="shared" si="357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8"/>
        <v>1279</v>
      </c>
      <c r="AJO15" s="43">
        <f t="shared" si="359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60"/>
        <v>2054</v>
      </c>
      <c r="AJW15" s="43">
        <f t="shared" si="361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2"/>
        <v>451</v>
      </c>
      <c r="AKE15" s="68">
        <f t="shared" si="363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4"/>
        <v>858</v>
      </c>
      <c r="AKM15" s="184">
        <f t="shared" si="365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6"/>
        <v>1597</v>
      </c>
      <c r="AKU15" s="184">
        <f t="shared" si="367"/>
        <v>266.16666666666669</v>
      </c>
      <c r="AKV15" s="48"/>
      <c r="AKW15" s="49"/>
      <c r="AKX15" s="49"/>
      <c r="AKY15" s="49"/>
      <c r="AKZ15" s="49"/>
      <c r="ALA15" s="49"/>
      <c r="ALB15" s="67">
        <f t="shared" si="368"/>
        <v>0</v>
      </c>
      <c r="ALC15" s="68">
        <f t="shared" si="369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70"/>
        <v>1777</v>
      </c>
      <c r="ALK15" s="68">
        <f t="shared" si="371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2"/>
        <v>440</v>
      </c>
      <c r="ALS15" s="68">
        <f t="shared" si="373"/>
        <v>73.333333333333329</v>
      </c>
      <c r="ALT15" s="48"/>
      <c r="ALU15" s="49"/>
      <c r="ALV15" s="49"/>
      <c r="ALW15" s="49"/>
      <c r="ALX15" s="49"/>
      <c r="ALY15" s="49"/>
      <c r="ALZ15" s="67">
        <f t="shared" si="374"/>
        <v>0</v>
      </c>
      <c r="AMA15" s="68">
        <f t="shared" si="375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6"/>
        <v>893</v>
      </c>
      <c r="AMI15" s="68">
        <f t="shared" si="377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8"/>
        <v>1071</v>
      </c>
      <c r="AMQ15" s="68">
        <f t="shared" si="379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80"/>
        <v>1009</v>
      </c>
      <c r="AMY15" s="68">
        <f t="shared" si="381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2"/>
        <v>2125</v>
      </c>
      <c r="ANG15" s="68">
        <f t="shared" si="383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4"/>
        <v>1417</v>
      </c>
      <c r="ANO15" s="68">
        <f t="shared" si="385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6"/>
        <v>1230</v>
      </c>
      <c r="ANW15" s="68">
        <f t="shared" si="387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8"/>
        <v>1690</v>
      </c>
      <c r="AOE15" s="68">
        <f t="shared" si="389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90"/>
        <v>219</v>
      </c>
      <c r="AOM15" s="68">
        <f t="shared" si="391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2"/>
        <v>1144</v>
      </c>
      <c r="AOU15" s="68">
        <f t="shared" si="393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4"/>
        <v>1241</v>
      </c>
      <c r="APC15" s="68">
        <f t="shared" si="395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6"/>
        <v>373</v>
      </c>
      <c r="APK15" s="68">
        <f t="shared" si="397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8"/>
        <v>2169</v>
      </c>
      <c r="APS15" s="68">
        <f t="shared" si="399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400"/>
        <v>1781</v>
      </c>
      <c r="AQA15" s="68">
        <f t="shared" si="401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2"/>
        <v>660</v>
      </c>
      <c r="AQI15" s="68">
        <f t="shared" si="403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4"/>
        <v>1817</v>
      </c>
      <c r="AQQ15" s="68">
        <f t="shared" si="405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6"/>
        <v>1620</v>
      </c>
      <c r="AQY15" s="68">
        <f t="shared" si="407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8"/>
        <v>1230</v>
      </c>
      <c r="ARG15" s="68">
        <f t="shared" si="409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10"/>
        <v>2011</v>
      </c>
      <c r="ARO15" s="68">
        <f t="shared" si="411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2"/>
        <v>1668</v>
      </c>
      <c r="ARW15" s="68">
        <f t="shared" si="413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4"/>
        <v>1347</v>
      </c>
      <c r="ASE15" s="68">
        <f t="shared" si="415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6"/>
        <v>2128</v>
      </c>
      <c r="ASM15" s="68">
        <f t="shared" si="417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8"/>
        <v>1136</v>
      </c>
      <c r="ASU15" s="68">
        <f t="shared" si="419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20"/>
        <v>880</v>
      </c>
      <c r="ATC15" s="68">
        <f t="shared" si="421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2"/>
        <v>877</v>
      </c>
      <c r="ATK15" s="68">
        <f t="shared" si="423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4"/>
        <v>1195</v>
      </c>
      <c r="ATS15" s="68">
        <f t="shared" si="425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6"/>
        <v>2208</v>
      </c>
      <c r="AUA15" s="68">
        <f t="shared" si="427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8"/>
        <v>900</v>
      </c>
      <c r="AUI15" s="68">
        <f t="shared" si="429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30"/>
        <v>1394</v>
      </c>
      <c r="AUQ15" s="68">
        <f t="shared" si="431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2"/>
        <v>440</v>
      </c>
      <c r="AUY15" s="68">
        <f t="shared" si="433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4"/>
        <v>1657</v>
      </c>
      <c r="AVG15" s="68">
        <f t="shared" si="435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6"/>
        <v>1495</v>
      </c>
      <c r="AVO15" s="68">
        <f t="shared" si="437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8"/>
        <v>474</v>
      </c>
      <c r="AVW15" s="68">
        <f t="shared" si="439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40"/>
        <v>2018</v>
      </c>
      <c r="AWE15" s="68">
        <f t="shared" si="441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2"/>
        <v>877</v>
      </c>
      <c r="AWM15" s="68">
        <f t="shared" si="443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4"/>
        <v>1097</v>
      </c>
      <c r="AWU15" s="43">
        <f t="shared" si="445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6"/>
        <v>894</v>
      </c>
      <c r="AXC15" s="43">
        <f t="shared" si="447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8"/>
        <v>1210</v>
      </c>
      <c r="AXK15" s="43">
        <f t="shared" si="449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50"/>
        <v>980</v>
      </c>
      <c r="AXS15" s="43">
        <f t="shared" si="451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2"/>
        <v>859</v>
      </c>
      <c r="AYA15" s="43">
        <f t="shared" si="453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4"/>
        <v>883</v>
      </c>
      <c r="AYI15" s="43">
        <f t="shared" si="455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6"/>
        <v>891</v>
      </c>
      <c r="AYQ15" s="43">
        <f t="shared" si="457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8"/>
        <v>641</v>
      </c>
      <c r="AYY15" s="43">
        <f t="shared" si="459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60"/>
        <v>1052</v>
      </c>
      <c r="AZG15" s="43">
        <f t="shared" si="461"/>
        <v>175.33333333333334</v>
      </c>
      <c r="AZH15" s="48"/>
      <c r="AZI15" s="49"/>
      <c r="AZJ15" s="49"/>
      <c r="AZK15" s="49"/>
      <c r="AZL15" s="49"/>
      <c r="AZM15" s="49"/>
      <c r="AZN15" s="42">
        <f t="shared" si="462"/>
        <v>0</v>
      </c>
      <c r="AZO15" s="43">
        <f t="shared" si="463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4"/>
        <v>1297</v>
      </c>
      <c r="AZW15" s="43">
        <f t="shared" si="465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6"/>
        <v>440</v>
      </c>
      <c r="BAE15" s="43">
        <f t="shared" si="467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8"/>
        <v>727</v>
      </c>
      <c r="BAM15" s="43">
        <f t="shared" si="469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70"/>
        <v>636</v>
      </c>
      <c r="BAU15" s="43">
        <f t="shared" si="471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2"/>
        <v>995</v>
      </c>
      <c r="BBC15" s="43">
        <f t="shared" si="473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4"/>
        <v>702</v>
      </c>
      <c r="BBK15" s="43">
        <f t="shared" si="475"/>
        <v>117</v>
      </c>
      <c r="BBL15" s="48"/>
      <c r="BBM15" s="49"/>
      <c r="BBN15" s="49"/>
      <c r="BBO15" s="49"/>
      <c r="BBP15" s="49"/>
      <c r="BBQ15" s="49"/>
      <c r="BBR15" s="42">
        <f t="shared" si="476"/>
        <v>0</v>
      </c>
      <c r="BBS15" s="43">
        <f t="shared" si="477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8"/>
        <v>899</v>
      </c>
      <c r="BCA15" s="43">
        <f t="shared" si="479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80"/>
        <v>434</v>
      </c>
      <c r="BCI15" s="43">
        <f t="shared" si="481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2"/>
        <v>945</v>
      </c>
      <c r="BCQ15" s="43">
        <f t="shared" si="483"/>
        <v>157.5</v>
      </c>
      <c r="BCR15" s="48"/>
      <c r="BCS15" s="49"/>
      <c r="BCT15" s="49"/>
      <c r="BCU15" s="49"/>
      <c r="BCV15" s="49"/>
      <c r="BCW15" s="49"/>
      <c r="BCX15" s="42">
        <f t="shared" si="484"/>
        <v>0</v>
      </c>
      <c r="BCY15" s="43">
        <f t="shared" si="485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6"/>
        <v>992</v>
      </c>
      <c r="BDG15" s="43">
        <f t="shared" si="487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8"/>
        <v>396</v>
      </c>
      <c r="BDO15" s="43">
        <f t="shared" si="489"/>
        <v>66</v>
      </c>
      <c r="BDP15" s="48"/>
      <c r="BDQ15" s="49"/>
      <c r="BDR15" s="49"/>
      <c r="BDS15" s="49"/>
      <c r="BDT15" s="49"/>
      <c r="BDU15" s="49"/>
      <c r="BDV15" s="42">
        <f t="shared" si="490"/>
        <v>0</v>
      </c>
      <c r="BDW15" s="43">
        <f t="shared" si="491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2"/>
        <v>1446</v>
      </c>
      <c r="BEE15" s="43">
        <f t="shared" si="493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4"/>
        <v>451</v>
      </c>
      <c r="BEM15" s="43">
        <f t="shared" si="495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6"/>
        <v>436</v>
      </c>
      <c r="BEU15" s="43">
        <f t="shared" si="497"/>
        <v>72.666666666666671</v>
      </c>
      <c r="BEV15" s="82"/>
      <c r="BEW15" s="83"/>
      <c r="BEX15" s="83"/>
      <c r="BEY15" s="83"/>
      <c r="BEZ15" s="83"/>
      <c r="BFA15" s="83"/>
      <c r="BFB15" s="42">
        <f t="shared" si="498"/>
        <v>0</v>
      </c>
      <c r="BFC15" s="43">
        <f t="shared" si="499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500"/>
        <v>788</v>
      </c>
      <c r="BFK15" s="43">
        <f t="shared" si="501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2"/>
        <v>597</v>
      </c>
      <c r="BFS15" s="43">
        <f t="shared" si="503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4"/>
        <v>441</v>
      </c>
      <c r="BGA15" s="43">
        <f t="shared" si="505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6"/>
        <v>717</v>
      </c>
      <c r="BGI15" s="43">
        <f t="shared" si="507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8"/>
        <v>881</v>
      </c>
      <c r="BGQ15" s="43">
        <f t="shared" si="509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10"/>
        <v>400</v>
      </c>
      <c r="BGY15" s="43">
        <f t="shared" si="511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2"/>
        <v>1089</v>
      </c>
      <c r="BHG15" s="43">
        <f t="shared" si="513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4"/>
        <v>656</v>
      </c>
      <c r="BHO15" s="43">
        <f t="shared" si="515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6"/>
        <v>655</v>
      </c>
      <c r="BHW15" s="43">
        <f t="shared" si="517"/>
        <v>109.16666666666667</v>
      </c>
      <c r="BHX15" s="48"/>
      <c r="BHY15" s="49"/>
      <c r="BHZ15" s="49"/>
      <c r="BIA15" s="49"/>
      <c r="BIB15" s="49"/>
      <c r="BIC15" s="49"/>
      <c r="BID15" s="42">
        <f t="shared" si="518"/>
        <v>0</v>
      </c>
      <c r="BIE15" s="43">
        <f t="shared" si="519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20"/>
        <v>1031</v>
      </c>
      <c r="BIM15" s="43">
        <f t="shared" si="521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2"/>
        <v>748</v>
      </c>
      <c r="BIU15" s="43">
        <f t="shared" si="523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4"/>
        <v>439</v>
      </c>
      <c r="BJC15" s="43">
        <f t="shared" si="525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6"/>
        <v>878</v>
      </c>
      <c r="BJK15" s="43">
        <f t="shared" si="527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8"/>
        <v>605</v>
      </c>
      <c r="BJS15" s="43">
        <f t="shared" si="529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30"/>
        <v>438</v>
      </c>
      <c r="BKA15" s="43">
        <f t="shared" si="531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2"/>
        <v>212</v>
      </c>
      <c r="BKI15" s="68">
        <f t="shared" si="533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4"/>
        <v>787</v>
      </c>
      <c r="BKQ15" s="43">
        <f t="shared" si="535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6"/>
        <v>640</v>
      </c>
      <c r="BKY15" s="43">
        <f t="shared" si="537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8"/>
        <v>440</v>
      </c>
      <c r="BLG15" s="43">
        <f t="shared" si="539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40"/>
        <v>219</v>
      </c>
      <c r="BLO15" s="43">
        <f t="shared" si="541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2"/>
        <v>442</v>
      </c>
      <c r="BLW15" s="43">
        <f t="shared" si="543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4"/>
        <v>707</v>
      </c>
      <c r="BME15" s="43">
        <f t="shared" si="545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6"/>
        <v>200</v>
      </c>
      <c r="BMM15" s="43">
        <f t="shared" si="547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8"/>
        <v>1048</v>
      </c>
      <c r="BMU15" s="43">
        <f t="shared" si="549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50"/>
        <v>1294</v>
      </c>
      <c r="BNC15" s="43">
        <f t="shared" si="551"/>
        <v>215.66666666666666</v>
      </c>
      <c r="BND15" s="48"/>
      <c r="BNE15" s="49"/>
      <c r="BNF15" s="49"/>
      <c r="BNG15" s="49"/>
      <c r="BNH15" s="49"/>
      <c r="BNI15" s="49"/>
      <c r="BNJ15" s="42">
        <f t="shared" si="552"/>
        <v>0</v>
      </c>
      <c r="BNK15" s="43">
        <f t="shared" si="553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4"/>
        <v>665</v>
      </c>
      <c r="BNS15" s="43">
        <f t="shared" si="555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6"/>
        <v>549</v>
      </c>
      <c r="BOA15" s="43">
        <f t="shared" si="557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8"/>
        <v>451</v>
      </c>
      <c r="BOI15" s="43">
        <f t="shared" si="559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60"/>
        <v>1505</v>
      </c>
      <c r="BOQ15" s="43">
        <f t="shared" si="561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2"/>
        <v>816</v>
      </c>
      <c r="BOY15" s="43">
        <f t="shared" si="563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4"/>
        <v>999</v>
      </c>
      <c r="BPG15" s="43">
        <f t="shared" si="565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6"/>
        <v>1972</v>
      </c>
      <c r="BPO15" s="43">
        <f t="shared" si="567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8"/>
        <v>572</v>
      </c>
      <c r="BPW15" s="43">
        <f t="shared" si="569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70"/>
        <v>846</v>
      </c>
      <c r="BQE15" s="43">
        <f t="shared" si="571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2"/>
        <v>1355</v>
      </c>
      <c r="BQM15" s="43">
        <f t="shared" si="573"/>
        <v>225.83333333333334</v>
      </c>
      <c r="BQN15" s="63"/>
      <c r="BQO15" s="64"/>
      <c r="BQP15" s="64"/>
      <c r="BQQ15" s="64"/>
      <c r="BQR15" s="64"/>
      <c r="BQS15" s="64"/>
      <c r="BQT15" s="67">
        <f t="shared" si="574"/>
        <v>0</v>
      </c>
      <c r="BQU15" s="43">
        <f t="shared" si="575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6"/>
        <v>798</v>
      </c>
      <c r="BRC15" s="43">
        <f t="shared" si="577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8"/>
        <v>616</v>
      </c>
      <c r="BRK15" s="43">
        <f t="shared" si="579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80"/>
        <v>1199</v>
      </c>
      <c r="BRS15" s="68">
        <f t="shared" si="581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2"/>
        <v>773</v>
      </c>
      <c r="BSA15" s="43">
        <f t="shared" si="583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4"/>
        <v>237</v>
      </c>
      <c r="BSI15" s="43">
        <f t="shared" si="585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6"/>
        <v>787</v>
      </c>
      <c r="BSQ15" s="43">
        <f t="shared" si="587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8"/>
        <v>1102</v>
      </c>
      <c r="BSY15" s="43">
        <f t="shared" si="589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90"/>
        <v>863</v>
      </c>
      <c r="BTG15" s="43">
        <f t="shared" si="591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2"/>
        <v>635</v>
      </c>
      <c r="BTO15" s="68">
        <f t="shared" si="593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4"/>
        <v>882</v>
      </c>
      <c r="BTW15" s="43">
        <f t="shared" si="595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6"/>
        <v>950</v>
      </c>
      <c r="BUE15" s="68">
        <f t="shared" si="597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8"/>
        <v>1615</v>
      </c>
      <c r="BUM15" s="68">
        <f t="shared" si="599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600"/>
        <v>672</v>
      </c>
      <c r="BUU15" s="68">
        <f t="shared" si="601"/>
        <v>112</v>
      </c>
      <c r="BUV15" s="48"/>
      <c r="BUW15" s="49"/>
      <c r="BUX15" s="49"/>
      <c r="BUY15" s="49"/>
      <c r="BUZ15" s="49"/>
      <c r="BVA15" s="49"/>
      <c r="BVB15" s="67">
        <f t="shared" si="602"/>
        <v>0</v>
      </c>
      <c r="BVC15" s="68">
        <f t="shared" si="603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4"/>
        <v>629</v>
      </c>
      <c r="BVK15" s="68">
        <f t="shared" si="605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6"/>
        <v>600</v>
      </c>
      <c r="BVS15" s="68">
        <f t="shared" si="607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8"/>
        <v>1418</v>
      </c>
      <c r="BWA15" s="68">
        <f t="shared" si="609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10"/>
        <v>444</v>
      </c>
      <c r="BWI15" s="68">
        <f t="shared" si="611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2"/>
        <v>994</v>
      </c>
      <c r="BWQ15" s="68">
        <f t="shared" si="613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4"/>
        <v>1211</v>
      </c>
      <c r="BWY15" s="68">
        <f t="shared" si="615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6"/>
        <v>963</v>
      </c>
      <c r="BXG15" s="68">
        <f t="shared" si="617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8"/>
        <v>748</v>
      </c>
      <c r="BXO15" s="68">
        <f t="shared" si="619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20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21"/>
        <v>1246</v>
      </c>
      <c r="BYE15" s="68">
        <f t="shared" si="622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3"/>
        <v>819</v>
      </c>
      <c r="BYM15" s="68">
        <f t="shared" si="624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5"/>
        <v>1379</v>
      </c>
      <c r="BYU15" s="68">
        <f t="shared" si="626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7"/>
        <v>1290</v>
      </c>
      <c r="BZC15" s="68">
        <f t="shared" si="628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9"/>
        <v>1191</v>
      </c>
      <c r="BZK15" s="68">
        <f t="shared" si="630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31"/>
        <v>1090</v>
      </c>
      <c r="BZS15" s="68">
        <f t="shared" si="632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3"/>
        <v>885</v>
      </c>
      <c r="CAA15" s="68">
        <f t="shared" si="634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5"/>
        <v>1424</v>
      </c>
      <c r="CAI15" s="68">
        <f t="shared" si="636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7"/>
        <v>1672</v>
      </c>
      <c r="CAQ15" s="68">
        <f t="shared" si="638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9"/>
        <v>2328</v>
      </c>
      <c r="CAY15" s="68">
        <f t="shared" si="640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41"/>
        <v>580</v>
      </c>
      <c r="CBG15" s="68">
        <f t="shared" si="642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3"/>
        <v>1488</v>
      </c>
      <c r="CBO15" s="68">
        <f t="shared" si="644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5"/>
        <v>1190</v>
      </c>
      <c r="CBW15" s="68">
        <f t="shared" si="646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7"/>
        <v>1341</v>
      </c>
      <c r="CCE15" s="68">
        <f t="shared" si="648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9"/>
        <v>858</v>
      </c>
      <c r="CCM15" s="68">
        <f t="shared" si="650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51"/>
        <v>1570</v>
      </c>
      <c r="CCU15" s="68">
        <f t="shared" si="652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3"/>
        <v>659</v>
      </c>
      <c r="CDC15" s="68">
        <f t="shared" si="654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5"/>
        <v>1865</v>
      </c>
      <c r="CDK15" s="68">
        <f t="shared" si="656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7"/>
        <v>1607</v>
      </c>
      <c r="CDS15" s="68">
        <f t="shared" si="658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9"/>
        <v>1270</v>
      </c>
      <c r="CEA15" s="68">
        <f t="shared" si="660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61"/>
        <v>669</v>
      </c>
      <c r="CEI15" s="68">
        <f t="shared" si="662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3"/>
        <v>2129</v>
      </c>
      <c r="CEQ15" s="68">
        <f t="shared" si="664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5"/>
        <v>1206</v>
      </c>
      <c r="CEY15" s="68">
        <f t="shared" si="666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7"/>
        <v>2203</v>
      </c>
      <c r="CFG15" s="68">
        <f t="shared" si="668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9"/>
        <v>1320</v>
      </c>
      <c r="CFO15" s="68">
        <f t="shared" si="670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71"/>
        <v>2271</v>
      </c>
      <c r="CFW15" s="68">
        <f t="shared" si="672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3"/>
        <v>1399</v>
      </c>
      <c r="CGE15" s="68">
        <f t="shared" si="674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5"/>
        <v>885</v>
      </c>
      <c r="CGM15" s="68">
        <f t="shared" si="676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7"/>
        <v>1828</v>
      </c>
      <c r="CGU15" s="68">
        <f t="shared" si="678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9"/>
        <v>2108</v>
      </c>
      <c r="CHC15" s="68">
        <f t="shared" si="680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81"/>
        <v>2672</v>
      </c>
      <c r="CHK15" s="68">
        <f t="shared" si="682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3"/>
        <v>526</v>
      </c>
      <c r="CHS15" s="68">
        <f t="shared" si="684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5"/>
        <v>1426</v>
      </c>
      <c r="CIA15" s="68">
        <f t="shared" si="686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7"/>
        <v>2315</v>
      </c>
      <c r="CII15" s="68">
        <f t="shared" si="688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9"/>
        <v>938</v>
      </c>
      <c r="CIQ15" s="68">
        <f t="shared" si="690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91"/>
        <v>1464</v>
      </c>
      <c r="CIY15" s="68">
        <f t="shared" si="692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3"/>
        <v>1830</v>
      </c>
      <c r="CJG15" s="68">
        <f t="shared" si="1206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4"/>
        <v>1324</v>
      </c>
      <c r="CJO15" s="68">
        <f t="shared" si="695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6"/>
        <v>1153</v>
      </c>
      <c r="CJW15" s="68">
        <f t="shared" si="697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8"/>
        <v>1785</v>
      </c>
      <c r="CKE15" s="68">
        <f t="shared" si="699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700"/>
        <v>2187</v>
      </c>
      <c r="CKM15" s="68">
        <f t="shared" si="701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2"/>
        <v>1984</v>
      </c>
      <c r="CKU15" s="68">
        <f t="shared" si="703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4"/>
        <v>659</v>
      </c>
      <c r="CLC15" s="68">
        <f t="shared" si="705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6"/>
        <v>1688</v>
      </c>
      <c r="CLK15" s="68">
        <f t="shared" si="707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8"/>
        <v>1752</v>
      </c>
      <c r="CLS15" s="68">
        <f t="shared" si="709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10"/>
        <v>1100</v>
      </c>
      <c r="CMA15" s="68">
        <f t="shared" si="711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2"/>
        <v>2594</v>
      </c>
      <c r="CMI15" s="68">
        <f t="shared" si="713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4"/>
        <v>1002</v>
      </c>
      <c r="CMQ15" s="68">
        <f t="shared" si="715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6"/>
        <v>1895</v>
      </c>
      <c r="CMY15" s="68">
        <f t="shared" si="717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8"/>
        <v>1997</v>
      </c>
      <c r="CNG15" s="68">
        <f t="shared" si="719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20"/>
        <v>2044</v>
      </c>
      <c r="CNO15" s="68">
        <f t="shared" si="721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2"/>
        <v>355</v>
      </c>
      <c r="CNW15" s="68">
        <f t="shared" si="723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4"/>
        <v>1841</v>
      </c>
      <c r="COE15" s="68">
        <f t="shared" si="725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6"/>
        <v>2211</v>
      </c>
      <c r="COM15" s="68">
        <f t="shared" si="727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8"/>
        <v>1760</v>
      </c>
      <c r="COU15" s="68">
        <f t="shared" si="729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30"/>
        <v>330</v>
      </c>
      <c r="CPC15" s="68">
        <f t="shared" si="731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2"/>
        <v>2141</v>
      </c>
      <c r="CPK15" s="68">
        <f t="shared" si="733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4"/>
        <v>692</v>
      </c>
      <c r="CPS15" s="68">
        <f t="shared" si="735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6"/>
        <v>3316</v>
      </c>
      <c r="CQA15" s="68">
        <f t="shared" si="737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8"/>
        <v>1067</v>
      </c>
      <c r="CQI15" s="68">
        <f t="shared" si="739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40"/>
        <v>1938</v>
      </c>
      <c r="CQQ15" s="68">
        <f t="shared" si="741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2"/>
        <v>696</v>
      </c>
      <c r="CQY15" s="68">
        <f t="shared" si="743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4"/>
        <v>1448</v>
      </c>
      <c r="CRG15" s="68">
        <f t="shared" si="745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6"/>
        <v>1600</v>
      </c>
      <c r="CRO15" s="68">
        <f t="shared" si="747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8"/>
        <v>1096</v>
      </c>
      <c r="CRW15" s="68">
        <f t="shared" si="749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50"/>
        <v>1901</v>
      </c>
      <c r="CSE15" s="68">
        <f t="shared" si="751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2"/>
        <v>1704</v>
      </c>
      <c r="CSM15" s="68">
        <f t="shared" si="753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4"/>
        <v>766</v>
      </c>
      <c r="CSU15" s="68">
        <f t="shared" si="755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6"/>
        <v>1179</v>
      </c>
      <c r="CTC15" s="68">
        <f t="shared" si="757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8"/>
        <v>1383</v>
      </c>
      <c r="CTK15" s="68">
        <f t="shared" si="759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60"/>
        <v>1050</v>
      </c>
      <c r="CTS15" s="68">
        <f t="shared" si="761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2"/>
        <v>2190</v>
      </c>
      <c r="CUA15" s="68">
        <f t="shared" si="763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4"/>
        <v>956</v>
      </c>
      <c r="CUI15" s="68">
        <f t="shared" si="765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6"/>
        <v>1669</v>
      </c>
      <c r="CUQ15" s="68">
        <f t="shared" si="767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8"/>
        <v>1701</v>
      </c>
      <c r="CUY15" s="68">
        <f t="shared" si="769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70"/>
        <v>1563</v>
      </c>
      <c r="CVG15" s="68">
        <f t="shared" si="771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2"/>
        <v>1460</v>
      </c>
      <c r="CVO15" s="68">
        <f t="shared" si="773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4"/>
        <v>2341</v>
      </c>
      <c r="CVW15" s="68">
        <f t="shared" si="775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6"/>
        <v>1532</v>
      </c>
      <c r="CWE15" s="68">
        <f t="shared" si="777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8"/>
        <v>2299</v>
      </c>
      <c r="CWM15" s="68">
        <f t="shared" si="779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80"/>
        <v>2290</v>
      </c>
      <c r="CWU15" s="68">
        <f t="shared" si="781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2"/>
        <v>1072</v>
      </c>
      <c r="CXC15" s="43">
        <f t="shared" si="783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4"/>
        <v>1838</v>
      </c>
      <c r="CXK15" s="43">
        <f t="shared" si="785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6"/>
        <v>2526</v>
      </c>
      <c r="CXS15" s="43">
        <f t="shared" si="787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8"/>
        <v>1832</v>
      </c>
      <c r="CYA15" s="43">
        <f t="shared" si="789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90"/>
        <v>1712</v>
      </c>
      <c r="CYI15" s="43">
        <f t="shared" si="791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2"/>
        <v>3242</v>
      </c>
      <c r="CYQ15" s="43">
        <f t="shared" si="793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4"/>
        <v>0</v>
      </c>
      <c r="CYY15" s="43">
        <f t="shared" si="795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6"/>
        <v>1102</v>
      </c>
      <c r="CZG15" s="43">
        <f t="shared" si="797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8"/>
        <v>1694</v>
      </c>
      <c r="CZO15" s="43">
        <f t="shared" si="799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800"/>
        <v>443</v>
      </c>
      <c r="CZW15" s="43">
        <f t="shared" si="801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2"/>
        <v>880</v>
      </c>
      <c r="DAE15" s="68">
        <f t="shared" si="803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4"/>
        <v>1824</v>
      </c>
      <c r="DAM15" s="68">
        <f t="shared" si="805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6"/>
        <v>0</v>
      </c>
      <c r="DAU15" s="68">
        <f t="shared" si="807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8"/>
        <v>439</v>
      </c>
      <c r="DBC15" s="68">
        <f t="shared" si="809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10"/>
        <v>959</v>
      </c>
      <c r="DBK15" s="68">
        <f t="shared" si="811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2"/>
        <v>1558</v>
      </c>
      <c r="DBS15" s="68">
        <f t="shared" si="813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4"/>
        <v>587</v>
      </c>
      <c r="DCA15" s="68">
        <f t="shared" si="815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6"/>
        <v>2760</v>
      </c>
      <c r="DCI15" s="68">
        <f t="shared" si="817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8"/>
        <v>1478</v>
      </c>
      <c r="DCQ15" s="68">
        <f t="shared" si="819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20"/>
        <v>1405</v>
      </c>
      <c r="DCY15" s="68">
        <f t="shared" si="821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2"/>
        <v>883</v>
      </c>
      <c r="DDG15" s="68">
        <f t="shared" si="823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4"/>
        <v>1417</v>
      </c>
      <c r="DDO15" s="43">
        <f t="shared" si="825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6"/>
        <v>1440</v>
      </c>
      <c r="DDW15" s="43">
        <f t="shared" si="827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8"/>
        <v>1210</v>
      </c>
      <c r="DEE15" s="43">
        <f t="shared" si="829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30"/>
        <v>1252</v>
      </c>
      <c r="DEM15" s="43">
        <f t="shared" si="831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2"/>
        <v>1537</v>
      </c>
      <c r="DEU15" s="43">
        <f t="shared" si="833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4"/>
        <v>882</v>
      </c>
      <c r="DFC15" s="43">
        <f t="shared" si="835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6"/>
        <v>1860</v>
      </c>
      <c r="DFK15" s="43">
        <f t="shared" si="837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8"/>
        <v>1677</v>
      </c>
      <c r="DFS15" s="68">
        <f t="shared" si="839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40"/>
        <v>1220</v>
      </c>
      <c r="DGA15" s="43">
        <f t="shared" si="841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2"/>
        <v>1431</v>
      </c>
      <c r="DGI15" s="43">
        <f t="shared" si="843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4"/>
        <v>470</v>
      </c>
      <c r="DGQ15" s="68">
        <f t="shared" si="845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6"/>
        <v>1672</v>
      </c>
      <c r="DGY15" s="68">
        <f t="shared" si="847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8"/>
        <v>1767</v>
      </c>
      <c r="DHG15" s="68">
        <f t="shared" si="849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50"/>
        <v>1206</v>
      </c>
      <c r="DHO15" s="68">
        <f t="shared" si="851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2"/>
        <v>1393</v>
      </c>
      <c r="DHW15" s="68">
        <f t="shared" si="853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4"/>
        <v>1213</v>
      </c>
      <c r="DIE15" s="68">
        <f t="shared" si="855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6"/>
        <v>1219</v>
      </c>
      <c r="DIM15" s="68">
        <f t="shared" si="857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8"/>
        <v>897</v>
      </c>
      <c r="DIU15" s="68">
        <f t="shared" si="859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60"/>
        <v>1434</v>
      </c>
      <c r="DJC15" s="68">
        <f t="shared" si="861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2"/>
        <v>1320</v>
      </c>
      <c r="DJK15" s="68">
        <f t="shared" si="863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4"/>
        <v>883</v>
      </c>
      <c r="DJS15" s="68">
        <f t="shared" si="865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6"/>
        <v>1029</v>
      </c>
      <c r="DKA15" s="68">
        <f t="shared" si="867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8"/>
        <v>1641</v>
      </c>
      <c r="DKI15" s="68">
        <f t="shared" si="869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70"/>
        <v>1621</v>
      </c>
      <c r="DKQ15" s="68">
        <f t="shared" si="871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2"/>
        <v>435</v>
      </c>
      <c r="DKY15" s="68">
        <f t="shared" si="873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4"/>
        <v>919</v>
      </c>
      <c r="DLG15" s="68">
        <f t="shared" si="875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6"/>
        <v>2001</v>
      </c>
      <c r="DLO15" s="68">
        <f t="shared" si="877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8"/>
        <v>440</v>
      </c>
      <c r="DLW15" s="68">
        <f t="shared" si="879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80"/>
        <v>1234</v>
      </c>
      <c r="DME15" s="68">
        <f t="shared" si="881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2"/>
        <v>870</v>
      </c>
      <c r="DMM15" s="68">
        <f t="shared" si="883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4"/>
        <v>1654</v>
      </c>
      <c r="DMU15" s="68">
        <f t="shared" si="885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6"/>
        <v>1000</v>
      </c>
      <c r="DNC15" s="68">
        <f t="shared" si="887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8"/>
        <v>1960</v>
      </c>
      <c r="DNK15" s="68">
        <f t="shared" si="889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90"/>
        <v>1247</v>
      </c>
      <c r="DNS15" s="68">
        <f t="shared" si="891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2"/>
        <v>1516</v>
      </c>
      <c r="DOA15" s="68">
        <f t="shared" si="893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4"/>
        <v>1231</v>
      </c>
      <c r="DOI15" s="68">
        <f t="shared" si="895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6"/>
        <v>637</v>
      </c>
      <c r="DOQ15" s="68">
        <f t="shared" si="897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8"/>
        <v>2242</v>
      </c>
      <c r="DOY15" s="68">
        <f t="shared" si="899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900"/>
        <v>1702</v>
      </c>
      <c r="DPG15" s="68">
        <f t="shared" si="901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2"/>
        <v>1341</v>
      </c>
      <c r="DPO15" s="68">
        <f t="shared" si="903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4"/>
        <v>868</v>
      </c>
      <c r="DPW15" s="492">
        <f t="shared" si="905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6"/>
        <v>1934</v>
      </c>
      <c r="DQE15" s="492">
        <f t="shared" si="907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8"/>
        <v>2019</v>
      </c>
      <c r="DQM15" s="492">
        <f t="shared" si="909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10"/>
        <v>671</v>
      </c>
      <c r="DQU15" s="68">
        <f t="shared" si="911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2"/>
        <v>803</v>
      </c>
      <c r="DRC15" s="492">
        <f t="shared" si="913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4"/>
        <v>1007</v>
      </c>
      <c r="DRK15" s="492">
        <f t="shared" si="915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6"/>
        <v>662</v>
      </c>
      <c r="DRS15" s="68">
        <f t="shared" si="917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8"/>
        <v>330</v>
      </c>
      <c r="DSA15" s="68">
        <f t="shared" si="919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20"/>
        <v>660</v>
      </c>
      <c r="DSI15" s="68">
        <f t="shared" si="921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2"/>
        <v>641</v>
      </c>
      <c r="DSQ15" s="68">
        <f t="shared" si="923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4"/>
        <v>668</v>
      </c>
      <c r="DSY15" s="68">
        <f t="shared" si="925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6"/>
        <v>651</v>
      </c>
      <c r="DTG15" s="68">
        <f t="shared" si="927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8"/>
        <v>1130</v>
      </c>
      <c r="DTO15" s="68">
        <f t="shared" si="929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30"/>
        <v>629</v>
      </c>
      <c r="DTW15" s="68">
        <f t="shared" si="931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2"/>
        <v>1039</v>
      </c>
      <c r="DUE15" s="68">
        <f t="shared" si="933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4"/>
        <v>1454</v>
      </c>
      <c r="DUM15" s="68">
        <f t="shared" si="935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6"/>
        <v>441</v>
      </c>
      <c r="DUU15" s="184">
        <f t="shared" si="937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8"/>
        <v>1169</v>
      </c>
      <c r="DVC15" s="68">
        <f t="shared" si="939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40"/>
        <v>332</v>
      </c>
      <c r="DVK15" s="68">
        <f t="shared" si="941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2"/>
        <v>437</v>
      </c>
      <c r="DVS15" s="68">
        <f t="shared" si="943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4"/>
        <v>655</v>
      </c>
      <c r="DWA15" s="68">
        <f t="shared" si="945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6"/>
        <v>1291</v>
      </c>
      <c r="DWI15" s="68">
        <f t="shared" si="947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8"/>
        <v>1002</v>
      </c>
      <c r="DWQ15" s="68">
        <f t="shared" si="949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50"/>
        <v>878</v>
      </c>
      <c r="DWY15" s="68">
        <f t="shared" si="1207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51"/>
        <v>762</v>
      </c>
      <c r="DXG15" s="68">
        <f t="shared" si="952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3"/>
        <v>1510</v>
      </c>
      <c r="DXO15" s="68">
        <f t="shared" si="954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5"/>
        <v>220</v>
      </c>
      <c r="DXW15" s="68">
        <f t="shared" si="956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7"/>
        <v>2165</v>
      </c>
      <c r="DYE15" s="68">
        <f t="shared" si="958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9"/>
        <v>435</v>
      </c>
      <c r="DYM15" s="68">
        <f t="shared" si="960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61"/>
        <v>869</v>
      </c>
      <c r="DYU15" s="68">
        <f t="shared" si="962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3"/>
        <v>1095</v>
      </c>
      <c r="DZC15" s="68">
        <f t="shared" si="964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5"/>
        <v>0</v>
      </c>
      <c r="DZK15" s="68">
        <f t="shared" si="966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7"/>
        <v>450</v>
      </c>
      <c r="DZS15" s="68">
        <f t="shared" si="968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9"/>
        <v>1239</v>
      </c>
      <c r="EAA15" s="68">
        <f t="shared" si="970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71"/>
        <v>878</v>
      </c>
      <c r="EAI15" s="68">
        <f t="shared" si="972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3"/>
        <v>220</v>
      </c>
      <c r="EAQ15" s="68">
        <f t="shared" si="1208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4"/>
        <v>1319</v>
      </c>
      <c r="EAY15" s="68">
        <f t="shared" si="975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6"/>
        <v>442</v>
      </c>
      <c r="EBG15" s="68">
        <f t="shared" si="977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8"/>
        <v>440</v>
      </c>
      <c r="EBO15" s="68">
        <f t="shared" si="1137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9"/>
        <v>1020</v>
      </c>
      <c r="EBW15" s="68">
        <f t="shared" si="980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81"/>
        <v>660</v>
      </c>
      <c r="ECE15" s="68">
        <f t="shared" si="982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3"/>
        <v>1371</v>
      </c>
      <c r="ECM15" s="68">
        <f t="shared" si="984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5"/>
        <v>1128</v>
      </c>
      <c r="ECU15" s="68">
        <f t="shared" si="986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7"/>
        <v>876</v>
      </c>
      <c r="EDC15" s="68">
        <f t="shared" si="988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9"/>
        <v>439</v>
      </c>
      <c r="EDK15" s="68">
        <f t="shared" si="990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91"/>
        <v>720</v>
      </c>
      <c r="EDS15" s="184">
        <f t="shared" si="992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3"/>
        <v>769</v>
      </c>
      <c r="EEA15" s="184">
        <f t="shared" si="994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5"/>
        <v>440</v>
      </c>
      <c r="EEI15" s="68">
        <f t="shared" si="996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7"/>
        <v>1159</v>
      </c>
      <c r="EEQ15" s="68">
        <f t="shared" si="998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9"/>
        <v>330</v>
      </c>
      <c r="EEY15" s="68">
        <f t="shared" si="1000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1001"/>
        <v>0</v>
      </c>
      <c r="EFG15" s="68">
        <f t="shared" si="1002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3"/>
        <v>1320</v>
      </c>
      <c r="EFO15" s="68">
        <f t="shared" si="1004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5"/>
        <v>319</v>
      </c>
      <c r="EFW15" s="68">
        <f t="shared" si="1006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7"/>
        <v>1204</v>
      </c>
      <c r="EGE15" s="68">
        <f t="shared" si="1008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9"/>
        <v>439</v>
      </c>
      <c r="EGM15" s="68">
        <f t="shared" si="1010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11"/>
        <v>660</v>
      </c>
      <c r="EGU15" s="68">
        <f t="shared" si="1209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2"/>
        <v>1092</v>
      </c>
      <c r="EHC15" s="68">
        <f t="shared" si="1013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4"/>
        <v>235</v>
      </c>
      <c r="EHK15" s="68">
        <f t="shared" si="1015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6"/>
        <v>1030</v>
      </c>
      <c r="EHS15" s="68">
        <f t="shared" si="1017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8"/>
        <v>221</v>
      </c>
      <c r="EIA15" s="68">
        <f t="shared" si="1019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20"/>
        <v>1361</v>
      </c>
      <c r="EII15" s="68">
        <f t="shared" si="1021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2"/>
        <v>994</v>
      </c>
      <c r="EIQ15" s="68">
        <f t="shared" si="1023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4"/>
        <v>1344</v>
      </c>
      <c r="EIY15" s="68">
        <f t="shared" si="1025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6"/>
        <v>895</v>
      </c>
      <c r="EJG15" s="68">
        <f t="shared" si="1027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8"/>
        <v>219</v>
      </c>
      <c r="EJO15" s="68">
        <f t="shared" si="1029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30"/>
        <v>1100</v>
      </c>
      <c r="EJW15" s="68">
        <f t="shared" si="1031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2"/>
        <v>0</v>
      </c>
      <c r="EKE15" s="68">
        <f t="shared" si="1033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4"/>
        <v>0</v>
      </c>
      <c r="EKM15" s="68">
        <f t="shared" si="1035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6"/>
        <v>973</v>
      </c>
      <c r="EKU15" s="184">
        <f t="shared" si="1037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8"/>
        <v>364</v>
      </c>
      <c r="ELD15" s="211">
        <f t="shared" si="1039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40"/>
        <v>879</v>
      </c>
      <c r="ELL15" s="211">
        <f t="shared" si="1041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2"/>
        <v>659</v>
      </c>
      <c r="ELT15" s="211">
        <f t="shared" si="1043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4"/>
        <v>1340</v>
      </c>
      <c r="EMB15" s="211">
        <f t="shared" si="1045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6"/>
        <v>821</v>
      </c>
      <c r="EMJ15" s="211">
        <f t="shared" si="1047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8"/>
        <v>872</v>
      </c>
      <c r="EMR15" s="211">
        <f t="shared" si="1049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50"/>
        <v>454</v>
      </c>
      <c r="EMZ15" s="211">
        <f t="shared" si="1051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2"/>
        <v>773</v>
      </c>
      <c r="ENH15" s="211">
        <f t="shared" si="1053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4"/>
        <v>0</v>
      </c>
      <c r="ENP15" s="211">
        <f t="shared" si="1055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6"/>
        <v>832</v>
      </c>
      <c r="ENX15" s="211">
        <f t="shared" si="1057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8"/>
        <v>671</v>
      </c>
      <c r="EOF15" s="211">
        <f t="shared" si="1059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60"/>
        <v>880</v>
      </c>
      <c r="EON15" s="211">
        <f t="shared" si="1061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2"/>
        <v>882</v>
      </c>
      <c r="EOV15" s="211">
        <f t="shared" si="1063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4"/>
        <v>1083</v>
      </c>
      <c r="EPD15" s="211">
        <f t="shared" si="1065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6"/>
        <v>698</v>
      </c>
      <c r="EPL15" s="211">
        <f t="shared" si="1067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8"/>
        <v>438</v>
      </c>
      <c r="EPT15" s="211">
        <f t="shared" si="1069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70"/>
        <v>860</v>
      </c>
      <c r="EQB15" s="211">
        <f t="shared" si="1071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2"/>
        <v>648</v>
      </c>
      <c r="EQJ15" s="211">
        <f t="shared" si="1073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4"/>
        <v>329</v>
      </c>
      <c r="EQR15" s="211">
        <f t="shared" si="1075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6"/>
        <v>550</v>
      </c>
      <c r="EQZ15" s="211">
        <f t="shared" si="1077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8"/>
        <v>0</v>
      </c>
      <c r="ERH15" s="211">
        <f t="shared" si="1079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80"/>
        <v>223</v>
      </c>
      <c r="ERP15" s="211">
        <f t="shared" si="1081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2"/>
        <v>110</v>
      </c>
      <c r="ERX15" s="211">
        <f t="shared" si="1083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4"/>
        <v>220</v>
      </c>
      <c r="ESF15" s="211">
        <f t="shared" si="1085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6"/>
        <v>732</v>
      </c>
      <c r="ESN15" s="211">
        <f t="shared" si="1087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8"/>
        <v>440</v>
      </c>
      <c r="ESV15" s="211">
        <f t="shared" si="1089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90"/>
        <v>220</v>
      </c>
      <c r="ETD15" s="211">
        <f t="shared" si="1091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2"/>
        <v>440</v>
      </c>
      <c r="ETL15" s="211">
        <f t="shared" si="1093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4"/>
        <v>441</v>
      </c>
      <c r="ETT15" s="211">
        <f t="shared" si="1095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6"/>
        <v>658</v>
      </c>
      <c r="EUB15" s="211">
        <f t="shared" si="1097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8"/>
        <v>599</v>
      </c>
      <c r="EUJ15" s="211">
        <f t="shared" si="1099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100"/>
        <v>662</v>
      </c>
      <c r="EUR15" s="211">
        <f t="shared" si="1101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2"/>
        <v>977</v>
      </c>
      <c r="EUZ15" s="211">
        <f t="shared" si="1103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4"/>
        <v>437</v>
      </c>
      <c r="EVH15" s="211">
        <f t="shared" si="1105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6"/>
        <v>220</v>
      </c>
      <c r="EVP15" s="211">
        <f t="shared" si="1107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8"/>
        <v>1508</v>
      </c>
      <c r="EVX15" s="211">
        <f t="shared" si="1109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10"/>
        <v>546</v>
      </c>
      <c r="EWF15" s="211">
        <f t="shared" si="1111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2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3"/>
        <v>666</v>
      </c>
      <c r="EWV15" s="211">
        <f t="shared" si="1114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5"/>
        <v>0</v>
      </c>
      <c r="EXD15" s="211">
        <f t="shared" si="1116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7"/>
        <v>667</v>
      </c>
      <c r="EXL15" s="211">
        <f t="shared" si="1118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9"/>
        <v>341</v>
      </c>
      <c r="EXT15" s="211">
        <f t="shared" si="1120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21"/>
        <v>434</v>
      </c>
      <c r="EYB15" s="211">
        <f t="shared" si="1122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3"/>
        <v>775</v>
      </c>
      <c r="EYJ15" s="211">
        <f t="shared" si="1124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5"/>
        <v>438</v>
      </c>
      <c r="EYR15" s="211">
        <f t="shared" si="1126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7"/>
        <v>549</v>
      </c>
      <c r="EYZ15" s="873">
        <f t="shared" si="1128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9"/>
        <v>206</v>
      </c>
      <c r="EZH15" s="873">
        <f t="shared" si="1130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0</v>
      </c>
      <c r="EZN15" s="49">
        <v>0</v>
      </c>
      <c r="EZO15" s="872">
        <f t="shared" si="1131"/>
        <v>109</v>
      </c>
      <c r="EZP15" s="873">
        <f t="shared" si="1132"/>
        <v>18.166666666666668</v>
      </c>
      <c r="EZQ15" s="458">
        <v>0</v>
      </c>
      <c r="EZR15" s="83"/>
      <c r="EZS15" s="83">
        <v>0</v>
      </c>
      <c r="EZT15" s="83"/>
      <c r="EZU15" s="83"/>
      <c r="EZV15" s="83">
        <v>619</v>
      </c>
      <c r="EZW15" s="872">
        <f t="shared" si="1133"/>
        <v>619</v>
      </c>
      <c r="EZX15" s="873">
        <f t="shared" si="1134"/>
        <v>103.16666666666667</v>
      </c>
      <c r="EZY15" s="195">
        <v>0</v>
      </c>
      <c r="EZZ15" s="49">
        <v>215</v>
      </c>
      <c r="FAA15" s="49"/>
      <c r="FAB15" s="49"/>
      <c r="FAC15" s="49"/>
      <c r="FAD15" s="49"/>
      <c r="FAE15" s="872">
        <f t="shared" si="1135"/>
        <v>215</v>
      </c>
      <c r="FAF15" s="873">
        <f t="shared" si="1136"/>
        <v>35.833333333333336</v>
      </c>
    </row>
    <row r="16" spans="1:4088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10"/>
        <v>0</v>
      </c>
      <c r="L16" s="24">
        <f t="shared" si="189"/>
        <v>1404</v>
      </c>
      <c r="M16" s="24">
        <f t="shared" si="190"/>
        <v>1404</v>
      </c>
      <c r="N16" s="15">
        <v>0</v>
      </c>
      <c r="O16" s="276">
        <f t="shared" si="191"/>
        <v>0</v>
      </c>
      <c r="P16" s="712">
        <v>35.833333333333336</v>
      </c>
      <c r="Q16" s="276">
        <f t="shared" si="192"/>
        <v>235.08837209302322</v>
      </c>
      <c r="R16" s="277">
        <f t="shared" si="193"/>
        <v>30.76923076923077</v>
      </c>
      <c r="S16" s="222">
        <v>800</v>
      </c>
      <c r="T16" s="276">
        <f t="shared" si="194"/>
        <v>45.629999999999995</v>
      </c>
      <c r="U16" s="303"/>
      <c r="V16" s="302">
        <f t="shared" ref="V16:V20" si="1211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43"/>
        <v>0</v>
      </c>
      <c r="AK16" s="43">
        <f t="shared" si="1144"/>
        <v>0</v>
      </c>
      <c r="AL16" s="48"/>
      <c r="AM16" s="49"/>
      <c r="AN16" s="49"/>
      <c r="AO16" s="49"/>
      <c r="AP16" s="49">
        <v>611</v>
      </c>
      <c r="AQ16" s="49"/>
      <c r="AR16" s="42">
        <f t="shared" si="1145"/>
        <v>611</v>
      </c>
      <c r="AS16" s="43">
        <f t="shared" si="1146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7"/>
        <v>1269</v>
      </c>
      <c r="BA16" s="43">
        <f t="shared" si="1148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9"/>
        <v>776</v>
      </c>
      <c r="BI16" s="43">
        <f t="shared" si="1150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51"/>
        <v>1194</v>
      </c>
      <c r="BQ16" s="43">
        <f t="shared" si="1152"/>
        <v>199</v>
      </c>
      <c r="BR16" s="48"/>
      <c r="BS16" s="49"/>
      <c r="BT16" s="49">
        <v>800</v>
      </c>
      <c r="BU16" s="49"/>
      <c r="BV16" s="49"/>
      <c r="BW16" s="49"/>
      <c r="BX16" s="42">
        <f t="shared" si="1153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54"/>
        <v>996</v>
      </c>
      <c r="CG16" s="43">
        <f t="shared" si="1155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6"/>
        <v>1189</v>
      </c>
      <c r="CO16" s="43">
        <f t="shared" si="1157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8"/>
        <v>785</v>
      </c>
      <c r="CW16" s="43">
        <f t="shared" si="1159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60"/>
        <v>800</v>
      </c>
      <c r="DE16" s="43">
        <f t="shared" si="1161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62"/>
        <v>200</v>
      </c>
      <c r="DM16" s="43">
        <f t="shared" si="1163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64"/>
        <v>599</v>
      </c>
      <c r="DU16" s="43">
        <f t="shared" si="1165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6"/>
        <v>600</v>
      </c>
      <c r="EC16" s="43">
        <f t="shared" si="1167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8"/>
        <v>361</v>
      </c>
      <c r="EK16" s="43">
        <f t="shared" si="1169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70"/>
        <v>299</v>
      </c>
      <c r="ES16" s="43">
        <f t="shared" si="1171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72"/>
        <v>1683</v>
      </c>
      <c r="FA16" s="43">
        <f t="shared" si="1173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74"/>
        <v>319</v>
      </c>
      <c r="FI16" s="43">
        <f t="shared" si="1175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6"/>
        <v>823</v>
      </c>
      <c r="FQ16" s="43">
        <f t="shared" si="1177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8"/>
        <v>434</v>
      </c>
      <c r="FY16" s="43">
        <f t="shared" si="1179"/>
        <v>72.333333333333329</v>
      </c>
      <c r="FZ16" s="48"/>
      <c r="GA16" s="49"/>
      <c r="GB16" s="49"/>
      <c r="GC16" s="49"/>
      <c r="GD16" s="49"/>
      <c r="GE16" s="49"/>
      <c r="GF16" s="42">
        <f t="shared" si="1180"/>
        <v>0</v>
      </c>
      <c r="GG16" s="43">
        <f t="shared" si="1181"/>
        <v>0</v>
      </c>
      <c r="GH16" s="48">
        <v>381</v>
      </c>
      <c r="GI16" s="49"/>
      <c r="GJ16" s="49"/>
      <c r="GK16" s="49"/>
      <c r="GL16" s="49"/>
      <c r="GM16" s="49"/>
      <c r="GN16" s="42">
        <f t="shared" si="1182"/>
        <v>381</v>
      </c>
      <c r="GO16" s="43">
        <f t="shared" si="1183"/>
        <v>63.5</v>
      </c>
      <c r="GP16" s="48"/>
      <c r="GQ16" s="49"/>
      <c r="GR16" s="49"/>
      <c r="GS16" s="49"/>
      <c r="GT16" s="49"/>
      <c r="GU16" s="49"/>
      <c r="GV16" s="42">
        <f t="shared" si="1184"/>
        <v>0</v>
      </c>
      <c r="GW16" s="43">
        <f t="shared" si="1185"/>
        <v>0</v>
      </c>
      <c r="GX16" s="48"/>
      <c r="GY16" s="49"/>
      <c r="GZ16" s="49"/>
      <c r="HA16" s="49"/>
      <c r="HB16" s="49"/>
      <c r="HC16" s="49"/>
      <c r="HD16" s="42">
        <f t="shared" si="1186"/>
        <v>0</v>
      </c>
      <c r="HE16" s="43">
        <f t="shared" si="1187"/>
        <v>0</v>
      </c>
      <c r="HF16" s="48"/>
      <c r="HG16" s="49"/>
      <c r="HH16" s="49"/>
      <c r="HI16" s="49"/>
      <c r="HJ16" s="49"/>
      <c r="HK16" s="49"/>
      <c r="HL16" s="42">
        <f t="shared" si="1188"/>
        <v>0</v>
      </c>
      <c r="HM16" s="43">
        <f t="shared" si="1189"/>
        <v>0</v>
      </c>
      <c r="HN16" s="82"/>
      <c r="HO16" s="83"/>
      <c r="HP16" s="83"/>
      <c r="HQ16" s="83"/>
      <c r="HR16" s="83">
        <v>211</v>
      </c>
      <c r="HS16" s="83"/>
      <c r="HT16" s="42">
        <f t="shared" si="1190"/>
        <v>211</v>
      </c>
      <c r="HU16" s="43">
        <f t="shared" si="1191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92"/>
        <v>200</v>
      </c>
      <c r="IC16" s="43">
        <f t="shared" si="1193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94"/>
        <v>302</v>
      </c>
      <c r="IK16" s="43">
        <f t="shared" si="1195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6"/>
        <v>209</v>
      </c>
      <c r="IS16" s="68">
        <f t="shared" si="1197"/>
        <v>34.833333333333336</v>
      </c>
      <c r="IT16" s="48"/>
      <c r="IU16" s="49"/>
      <c r="IV16" s="49"/>
      <c r="IW16" s="49"/>
      <c r="IX16" s="49"/>
      <c r="IY16" s="49"/>
      <c r="IZ16" s="67">
        <f t="shared" si="1198"/>
        <v>0</v>
      </c>
      <c r="JA16" s="68">
        <f t="shared" si="1199"/>
        <v>0</v>
      </c>
      <c r="JB16" s="48"/>
      <c r="JC16" s="49"/>
      <c r="JD16" s="49"/>
      <c r="JE16" s="49"/>
      <c r="JF16" s="49"/>
      <c r="JG16" s="49"/>
      <c r="JH16" s="67">
        <f t="shared" si="1200"/>
        <v>0</v>
      </c>
      <c r="JI16" s="68">
        <f t="shared" si="1201"/>
        <v>0</v>
      </c>
      <c r="JJ16" s="48"/>
      <c r="JK16" s="49"/>
      <c r="JL16" s="49"/>
      <c r="JM16" s="49"/>
      <c r="JN16" s="49"/>
      <c r="JO16" s="49"/>
      <c r="JP16" s="42">
        <f t="shared" si="1202"/>
        <v>0</v>
      </c>
      <c r="JQ16" s="43">
        <f t="shared" si="1203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204"/>
        <v>1171</v>
      </c>
      <c r="JY16" s="43">
        <f t="shared" si="1205"/>
        <v>195.16666666666666</v>
      </c>
      <c r="JZ16" s="48"/>
      <c r="KA16" s="49"/>
      <c r="KB16" s="49"/>
      <c r="KC16" s="49"/>
      <c r="KD16" s="49"/>
      <c r="KE16" s="49"/>
      <c r="KF16" s="42">
        <f t="shared" si="196"/>
        <v>0</v>
      </c>
      <c r="KG16" s="43">
        <f t="shared" si="197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8"/>
        <v>898</v>
      </c>
      <c r="KO16" s="68">
        <f t="shared" si="199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200"/>
        <v>602</v>
      </c>
      <c r="KW16" s="68">
        <f t="shared" si="201"/>
        <v>100.33333333333333</v>
      </c>
      <c r="KX16" s="48"/>
      <c r="KY16" s="49"/>
      <c r="KZ16" s="49"/>
      <c r="LA16" s="49"/>
      <c r="LB16" s="49"/>
      <c r="LC16" s="49"/>
      <c r="LD16" s="67">
        <f t="shared" si="202"/>
        <v>0</v>
      </c>
      <c r="LE16" s="68">
        <f t="shared" si="203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4"/>
        <v>395</v>
      </c>
      <c r="LM16" s="68">
        <f t="shared" si="205"/>
        <v>65.833333333333329</v>
      </c>
      <c r="LN16" s="48"/>
      <c r="LO16" s="49"/>
      <c r="LP16" s="49"/>
      <c r="LQ16" s="49"/>
      <c r="LR16" s="49"/>
      <c r="LS16" s="49"/>
      <c r="LT16" s="67">
        <f t="shared" si="206"/>
        <v>0</v>
      </c>
      <c r="LU16" s="68">
        <f t="shared" si="207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8"/>
        <v>788</v>
      </c>
      <c r="MC16" s="68">
        <f t="shared" si="209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10"/>
        <v>288</v>
      </c>
      <c r="MK16" s="68">
        <f t="shared" si="211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2"/>
        <v>676</v>
      </c>
      <c r="MS16" s="68">
        <f t="shared" si="213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4"/>
        <v>400</v>
      </c>
      <c r="NA16" s="68">
        <f t="shared" si="215"/>
        <v>66.666666666666671</v>
      </c>
      <c r="NB16" s="48"/>
      <c r="NC16" s="49"/>
      <c r="ND16" s="49"/>
      <c r="NE16" s="49"/>
      <c r="NF16" s="49"/>
      <c r="NG16" s="49"/>
      <c r="NH16" s="67">
        <f t="shared" si="216"/>
        <v>0</v>
      </c>
      <c r="NI16" s="68">
        <f t="shared" si="217"/>
        <v>0</v>
      </c>
      <c r="NJ16" s="48"/>
      <c r="NK16" s="49"/>
      <c r="NL16" s="49">
        <v>826</v>
      </c>
      <c r="NM16" s="49"/>
      <c r="NN16" s="49"/>
      <c r="NO16" s="49"/>
      <c r="NP16" s="67">
        <f t="shared" si="218"/>
        <v>826</v>
      </c>
      <c r="NQ16" s="68">
        <f t="shared" si="219"/>
        <v>137.66666666666666</v>
      </c>
      <c r="NR16" s="48"/>
      <c r="NS16" s="49"/>
      <c r="NT16" s="49"/>
      <c r="NU16" s="49"/>
      <c r="NV16" s="49"/>
      <c r="NW16" s="49"/>
      <c r="NX16" s="67">
        <f t="shared" si="220"/>
        <v>0</v>
      </c>
      <c r="NY16" s="68">
        <f t="shared" si="221"/>
        <v>0</v>
      </c>
      <c r="NZ16" s="48"/>
      <c r="OA16" s="49"/>
      <c r="OB16" s="49"/>
      <c r="OC16" s="49"/>
      <c r="OD16" s="49"/>
      <c r="OE16" s="49"/>
      <c r="OF16" s="67">
        <f t="shared" si="222"/>
        <v>0</v>
      </c>
      <c r="OG16" s="68">
        <f t="shared" si="223"/>
        <v>0</v>
      </c>
      <c r="OH16" s="48"/>
      <c r="OI16" s="49"/>
      <c r="OJ16" s="49"/>
      <c r="OK16" s="49"/>
      <c r="OL16" s="49"/>
      <c r="OM16" s="49"/>
      <c r="ON16" s="67">
        <f t="shared" si="224"/>
        <v>0</v>
      </c>
      <c r="OO16" s="68">
        <f t="shared" si="225"/>
        <v>0</v>
      </c>
      <c r="OP16" s="48"/>
      <c r="OQ16" s="49">
        <v>198</v>
      </c>
      <c r="OR16" s="49"/>
      <c r="OS16" s="49"/>
      <c r="OT16" s="49"/>
      <c r="OU16" s="49"/>
      <c r="OV16" s="67">
        <f t="shared" si="226"/>
        <v>198</v>
      </c>
      <c r="OW16" s="68">
        <f t="shared" si="227"/>
        <v>33</v>
      </c>
      <c r="OX16" s="48"/>
      <c r="OY16" s="49"/>
      <c r="OZ16" s="49"/>
      <c r="PA16" s="49"/>
      <c r="PB16" s="49"/>
      <c r="PC16" s="49">
        <v>400</v>
      </c>
      <c r="PD16" s="67">
        <f t="shared" si="228"/>
        <v>400</v>
      </c>
      <c r="PE16" s="68">
        <f t="shared" si="229"/>
        <v>66.666666666666671</v>
      </c>
      <c r="PF16" s="48"/>
      <c r="PG16" s="49"/>
      <c r="PH16" s="49"/>
      <c r="PI16" s="49"/>
      <c r="PJ16" s="49"/>
      <c r="PK16" s="49"/>
      <c r="PL16" s="67">
        <f t="shared" si="230"/>
        <v>0</v>
      </c>
      <c r="PM16" s="68">
        <f t="shared" si="231"/>
        <v>0</v>
      </c>
      <c r="PN16" s="48"/>
      <c r="PO16" s="49"/>
      <c r="PP16" s="49">
        <v>599</v>
      </c>
      <c r="PQ16" s="49"/>
      <c r="PR16" s="49"/>
      <c r="PS16" s="49"/>
      <c r="PT16" s="104">
        <f t="shared" si="232"/>
        <v>599</v>
      </c>
      <c r="PU16" s="105">
        <f t="shared" si="233"/>
        <v>99.833333333333329</v>
      </c>
      <c r="PV16" s="106"/>
      <c r="PW16" s="107"/>
      <c r="PX16" s="107"/>
      <c r="PY16" s="107"/>
      <c r="PZ16" s="107"/>
      <c r="QA16" s="107"/>
      <c r="QB16" s="104">
        <f t="shared" si="234"/>
        <v>0</v>
      </c>
      <c r="QC16" s="105">
        <f t="shared" si="235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6"/>
        <v>384</v>
      </c>
      <c r="QK16" s="105">
        <f t="shared" si="237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8"/>
        <v>403</v>
      </c>
      <c r="QS16" s="105">
        <f t="shared" si="239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40"/>
        <v>686</v>
      </c>
      <c r="RA16" s="105">
        <f t="shared" si="241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2"/>
        <v>599</v>
      </c>
      <c r="RI16" s="105">
        <f t="shared" si="243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4"/>
        <v>1167</v>
      </c>
      <c r="RQ16" s="105">
        <f t="shared" si="245"/>
        <v>194.5</v>
      </c>
      <c r="RR16" s="106"/>
      <c r="RS16" s="107"/>
      <c r="RT16" s="107"/>
      <c r="RU16" s="107"/>
      <c r="RV16" s="107"/>
      <c r="RW16" s="107"/>
      <c r="RX16" s="104">
        <f t="shared" si="246"/>
        <v>0</v>
      </c>
      <c r="RY16" s="105">
        <f t="shared" si="247"/>
        <v>0</v>
      </c>
      <c r="RZ16" s="106"/>
      <c r="SA16" s="107"/>
      <c r="SB16" s="107"/>
      <c r="SC16" s="107"/>
      <c r="SD16" s="107"/>
      <c r="SE16" s="107"/>
      <c r="SF16" s="104">
        <f t="shared" si="248"/>
        <v>0</v>
      </c>
      <c r="SG16" s="105">
        <f t="shared" si="249"/>
        <v>0</v>
      </c>
      <c r="SH16" s="106"/>
      <c r="SI16" s="107"/>
      <c r="SJ16" s="107"/>
      <c r="SK16" s="107"/>
      <c r="SL16" s="107"/>
      <c r="SM16" s="107"/>
      <c r="SN16" s="104">
        <f t="shared" si="250"/>
        <v>0</v>
      </c>
      <c r="SO16" s="105">
        <f t="shared" si="251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2"/>
        <v>778</v>
      </c>
      <c r="SW16" s="105">
        <f t="shared" si="253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4"/>
        <v>398</v>
      </c>
      <c r="TE16" s="105">
        <f t="shared" si="255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6"/>
        <v>597</v>
      </c>
      <c r="TM16" s="105">
        <f t="shared" si="257"/>
        <v>99.5</v>
      </c>
      <c r="TN16" s="106"/>
      <c r="TO16" s="107"/>
      <c r="TP16" s="107"/>
      <c r="TQ16" s="107"/>
      <c r="TR16" s="107"/>
      <c r="TS16" s="107"/>
      <c r="TT16" s="104">
        <f t="shared" si="258"/>
        <v>0</v>
      </c>
      <c r="TU16" s="105">
        <f t="shared" si="259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60"/>
        <v>394</v>
      </c>
      <c r="UC16" s="105">
        <f t="shared" si="261"/>
        <v>65.666666666666671</v>
      </c>
      <c r="UD16" s="106"/>
      <c r="UE16" s="107"/>
      <c r="UF16" s="107"/>
      <c r="UG16" s="107"/>
      <c r="UH16" s="107"/>
      <c r="UI16" s="107"/>
      <c r="UJ16" s="104">
        <f t="shared" si="262"/>
        <v>0</v>
      </c>
      <c r="UK16" s="105">
        <f t="shared" si="263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4"/>
        <v>599</v>
      </c>
      <c r="UT16" s="105">
        <f t="shared" si="265"/>
        <v>99.833333333333329</v>
      </c>
      <c r="UU16" s="106"/>
      <c r="UV16" s="107"/>
      <c r="UW16" s="107"/>
      <c r="UX16" s="107"/>
      <c r="UY16" s="107"/>
      <c r="UZ16" s="107"/>
      <c r="VA16" s="104">
        <f t="shared" si="266"/>
        <v>0</v>
      </c>
      <c r="VB16" s="105">
        <f t="shared" si="267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8"/>
        <v>1015</v>
      </c>
      <c r="VJ16" s="105">
        <f t="shared" si="269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70"/>
        <v>201</v>
      </c>
      <c r="VR16" s="105">
        <f t="shared" si="271"/>
        <v>33.5</v>
      </c>
      <c r="VS16" s="106"/>
      <c r="VT16" s="107"/>
      <c r="VU16" s="107"/>
      <c r="VV16" s="107"/>
      <c r="VW16" s="107"/>
      <c r="VX16" s="107"/>
      <c r="VY16" s="104">
        <f t="shared" si="272"/>
        <v>0</v>
      </c>
      <c r="VZ16" s="105">
        <f t="shared" si="273"/>
        <v>0</v>
      </c>
      <c r="WA16" s="63"/>
      <c r="WB16" s="64"/>
      <c r="WC16" s="64"/>
      <c r="WD16" s="64"/>
      <c r="WE16" s="64"/>
      <c r="WF16" s="64">
        <v>192</v>
      </c>
      <c r="WG16" s="67">
        <f t="shared" si="274"/>
        <v>192</v>
      </c>
      <c r="WH16" s="68">
        <f t="shared" si="275"/>
        <v>32</v>
      </c>
      <c r="WI16" s="48"/>
      <c r="WJ16" s="49"/>
      <c r="WK16" s="49"/>
      <c r="WL16" s="49"/>
      <c r="WM16" s="49"/>
      <c r="WN16" s="49"/>
      <c r="WO16" s="67">
        <f t="shared" si="276"/>
        <v>0</v>
      </c>
      <c r="WP16" s="68">
        <f t="shared" si="277"/>
        <v>0</v>
      </c>
      <c r="WQ16" s="48"/>
      <c r="WR16" s="49"/>
      <c r="WS16" s="49"/>
      <c r="WT16" s="49"/>
      <c r="WU16" s="49"/>
      <c r="WV16" s="49"/>
      <c r="WW16" s="49"/>
      <c r="WX16" s="67">
        <f t="shared" si="278"/>
        <v>0</v>
      </c>
      <c r="WY16" s="68">
        <f t="shared" si="279"/>
        <v>0</v>
      </c>
      <c r="WZ16" s="48"/>
      <c r="XA16" s="49"/>
      <c r="XB16" s="49"/>
      <c r="XC16" s="49"/>
      <c r="XD16" s="49"/>
      <c r="XE16" s="49"/>
      <c r="XF16" s="49"/>
      <c r="XG16" s="67">
        <f t="shared" si="280"/>
        <v>0</v>
      </c>
      <c r="XH16" s="68">
        <f t="shared" si="281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2"/>
        <v>0</v>
      </c>
      <c r="XQ16" s="105">
        <f t="shared" si="283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4"/>
        <v>1981</v>
      </c>
      <c r="XZ16" s="68">
        <f t="shared" si="285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6"/>
        <v>397</v>
      </c>
      <c r="YI16" s="68">
        <f t="shared" si="287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8"/>
        <v>480</v>
      </c>
      <c r="YR16" s="68">
        <f t="shared" si="289"/>
        <v>80</v>
      </c>
      <c r="YS16" s="48"/>
      <c r="YT16" s="49"/>
      <c r="YU16" s="49">
        <v>200</v>
      </c>
      <c r="YV16" s="49"/>
      <c r="YW16" s="49"/>
      <c r="YX16" s="49"/>
      <c r="YY16" s="67">
        <f t="shared" si="290"/>
        <v>200</v>
      </c>
      <c r="YZ16" s="68">
        <f t="shared" si="291"/>
        <v>33.333333333333336</v>
      </c>
      <c r="ZA16" s="48"/>
      <c r="ZB16" s="49"/>
      <c r="ZC16" s="49"/>
      <c r="ZD16" s="49"/>
      <c r="ZE16" s="49"/>
      <c r="ZF16" s="49"/>
      <c r="ZG16" s="67">
        <f t="shared" si="292"/>
        <v>0</v>
      </c>
      <c r="ZH16" s="68">
        <f t="shared" si="293"/>
        <v>0</v>
      </c>
      <c r="ZI16" s="48"/>
      <c r="ZJ16" s="49"/>
      <c r="ZK16" s="49"/>
      <c r="ZL16" s="49"/>
      <c r="ZM16" s="24">
        <v>517</v>
      </c>
      <c r="ZN16" s="24"/>
      <c r="ZO16" s="67">
        <f t="shared" si="294"/>
        <v>517</v>
      </c>
      <c r="ZP16" s="68">
        <f t="shared" si="295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6"/>
        <v>0</v>
      </c>
      <c r="ZY16" s="68">
        <f t="shared" si="297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8"/>
        <v>459</v>
      </c>
      <c r="AAH16" s="68">
        <f t="shared" si="299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300"/>
        <v>400</v>
      </c>
      <c r="AAP16" s="68">
        <f t="shared" si="301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2"/>
        <v>385</v>
      </c>
      <c r="AAX16" s="68">
        <f t="shared" si="303"/>
        <v>64.166666666666671</v>
      </c>
      <c r="AAY16" s="48"/>
      <c r="AAZ16" s="49"/>
      <c r="ABA16" s="49"/>
      <c r="ABB16" s="49"/>
      <c r="ABC16" s="49"/>
      <c r="ABD16" s="49"/>
      <c r="ABE16" s="67">
        <f t="shared" si="304"/>
        <v>0</v>
      </c>
      <c r="ABF16" s="68">
        <f t="shared" si="305"/>
        <v>0</v>
      </c>
      <c r="ABG16" s="48"/>
      <c r="ABH16" s="49"/>
      <c r="ABI16" s="49"/>
      <c r="ABJ16" s="49"/>
      <c r="ABK16" s="49"/>
      <c r="ABL16" s="49"/>
      <c r="ABM16" s="67">
        <f t="shared" si="306"/>
        <v>0</v>
      </c>
      <c r="ABN16" s="68">
        <f t="shared" si="307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8"/>
        <v>400</v>
      </c>
      <c r="ABV16" s="68">
        <f t="shared" si="309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10"/>
        <v>687</v>
      </c>
      <c r="ACD16" s="68">
        <f t="shared" si="311"/>
        <v>114.5</v>
      </c>
      <c r="ACE16" s="48"/>
      <c r="ACF16" s="49"/>
      <c r="ACG16" s="49"/>
      <c r="ACH16" s="49"/>
      <c r="ACI16" s="49"/>
      <c r="ACJ16" s="49"/>
      <c r="ACK16" s="67">
        <f t="shared" si="312"/>
        <v>0</v>
      </c>
      <c r="ACL16" s="68">
        <f t="shared" si="313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4"/>
        <v>798</v>
      </c>
      <c r="ACT16" s="68">
        <f t="shared" si="315"/>
        <v>133</v>
      </c>
      <c r="ACU16" s="48"/>
      <c r="ACV16" s="49"/>
      <c r="ACW16" s="49"/>
      <c r="ACX16" s="49"/>
      <c r="ACY16" s="49"/>
      <c r="ACZ16" s="49"/>
      <c r="ADA16" s="67">
        <f t="shared" si="316"/>
        <v>0</v>
      </c>
      <c r="ADB16" s="68">
        <f t="shared" si="317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8"/>
        <v>1090</v>
      </c>
      <c r="ADJ16" s="68">
        <f t="shared" si="319"/>
        <v>181.66666666666666</v>
      </c>
      <c r="ADK16" s="48"/>
      <c r="ADL16" s="49"/>
      <c r="ADM16" s="49"/>
      <c r="ADN16" s="49"/>
      <c r="ADO16" s="49"/>
      <c r="ADP16" s="49"/>
      <c r="ADQ16" s="67">
        <f t="shared" si="320"/>
        <v>0</v>
      </c>
      <c r="ADR16" s="68">
        <f t="shared" si="321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2"/>
        <v>1399</v>
      </c>
      <c r="ADZ16" s="68">
        <f t="shared" si="323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4"/>
        <v>702</v>
      </c>
      <c r="AEH16" s="68">
        <f t="shared" si="325"/>
        <v>117</v>
      </c>
      <c r="AEI16" s="48"/>
      <c r="AEJ16" s="49"/>
      <c r="AEK16" s="49"/>
      <c r="AEL16" s="49"/>
      <c r="AEM16" s="49"/>
      <c r="AEN16" s="49"/>
      <c r="AEO16" s="67">
        <f t="shared" si="326"/>
        <v>0</v>
      </c>
      <c r="AEP16" s="68">
        <f t="shared" si="327"/>
        <v>0</v>
      </c>
      <c r="AEQ16" s="48"/>
      <c r="AER16" s="49"/>
      <c r="AES16" s="49"/>
      <c r="AET16" s="49"/>
      <c r="AEU16" s="49"/>
      <c r="AEV16" s="49"/>
      <c r="AEW16" s="67">
        <f t="shared" si="328"/>
        <v>0</v>
      </c>
      <c r="AEX16" s="68">
        <f t="shared" si="329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30"/>
        <v>497</v>
      </c>
      <c r="AFF16" s="68">
        <f t="shared" si="331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2"/>
        <v>198</v>
      </c>
      <c r="AFN16" s="68">
        <f t="shared" si="333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4"/>
        <v>430</v>
      </c>
      <c r="AFV16" s="68">
        <f t="shared" si="335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6"/>
        <v>438</v>
      </c>
      <c r="AGD16" s="68">
        <f t="shared" si="337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8"/>
        <v>121</v>
      </c>
      <c r="AGL16" s="68">
        <f t="shared" si="339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40"/>
        <v>375</v>
      </c>
      <c r="AGU16" s="68">
        <f t="shared" si="341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2"/>
        <v>208</v>
      </c>
      <c r="AHC16" s="68">
        <f t="shared" si="343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4"/>
        <v>440</v>
      </c>
      <c r="AHK16" s="68">
        <f t="shared" si="345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6"/>
        <v>220</v>
      </c>
      <c r="AHS16" s="68">
        <f t="shared" si="347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8"/>
        <v>330</v>
      </c>
      <c r="AIA16" s="68">
        <f t="shared" si="349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50"/>
        <v>220</v>
      </c>
      <c r="AII16" s="68">
        <f t="shared" si="351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2"/>
        <v>440</v>
      </c>
      <c r="AIQ16" s="68">
        <f t="shared" si="353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4"/>
        <v>450</v>
      </c>
      <c r="AIY16" s="68">
        <f t="shared" si="355"/>
        <v>15.517241379310345</v>
      </c>
      <c r="AIZ16" s="48"/>
      <c r="AJA16" s="49"/>
      <c r="AJB16" s="49"/>
      <c r="AJC16" s="49"/>
      <c r="AJD16" s="49"/>
      <c r="AJE16" s="49"/>
      <c r="AJF16" s="67">
        <f t="shared" si="356"/>
        <v>0</v>
      </c>
      <c r="AJG16" s="68">
        <f t="shared" si="357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8"/>
        <v>905</v>
      </c>
      <c r="AJO16" s="43">
        <f t="shared" si="359"/>
        <v>31.206896551724139</v>
      </c>
      <c r="AJP16" s="48"/>
      <c r="AJQ16" s="49"/>
      <c r="AJR16" s="49"/>
      <c r="AJS16" s="49"/>
      <c r="AJT16" s="49"/>
      <c r="AJU16" s="49"/>
      <c r="AJV16" s="42">
        <f t="shared" si="360"/>
        <v>0</v>
      </c>
      <c r="AJW16" s="43">
        <f t="shared" si="361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2"/>
        <v>202</v>
      </c>
      <c r="AKE16" s="68">
        <f t="shared" si="363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4"/>
        <v>199</v>
      </c>
      <c r="AKM16" s="184">
        <f t="shared" si="365"/>
        <v>33.166666666666664</v>
      </c>
      <c r="AKN16" s="195"/>
      <c r="AKO16" s="49"/>
      <c r="AKP16" s="49"/>
      <c r="AKQ16" s="49"/>
      <c r="AKR16" s="49"/>
      <c r="AKS16" s="49"/>
      <c r="AKT16" s="67">
        <f t="shared" si="366"/>
        <v>0</v>
      </c>
      <c r="AKU16" s="184">
        <f t="shared" si="367"/>
        <v>0</v>
      </c>
      <c r="AKV16" s="48"/>
      <c r="AKW16" s="49"/>
      <c r="AKX16" s="49"/>
      <c r="AKY16" s="49"/>
      <c r="AKZ16" s="49"/>
      <c r="ALA16" s="49"/>
      <c r="ALB16" s="67">
        <f t="shared" si="368"/>
        <v>0</v>
      </c>
      <c r="ALC16" s="68">
        <f t="shared" si="369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70"/>
        <v>330</v>
      </c>
      <c r="ALK16" s="68">
        <f t="shared" si="371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2"/>
        <v>220</v>
      </c>
      <c r="ALS16" s="68">
        <f t="shared" si="373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4"/>
        <v>347</v>
      </c>
      <c r="AMA16" s="68">
        <f t="shared" si="375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6"/>
        <v>330</v>
      </c>
      <c r="AMI16" s="68">
        <f t="shared" si="377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8"/>
        <v>228</v>
      </c>
      <c r="AMQ16" s="68">
        <f t="shared" si="379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80"/>
        <v>365</v>
      </c>
      <c r="AMY16" s="68">
        <f t="shared" si="381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2"/>
        <v>330</v>
      </c>
      <c r="ANG16" s="68">
        <f t="shared" si="383"/>
        <v>55</v>
      </c>
      <c r="ANH16" s="48"/>
      <c r="ANI16" s="49"/>
      <c r="ANJ16" s="49"/>
      <c r="ANK16" s="49"/>
      <c r="ANL16" s="49"/>
      <c r="ANM16" s="49"/>
      <c r="ANN16" s="67">
        <f t="shared" si="384"/>
        <v>0</v>
      </c>
      <c r="ANO16" s="68">
        <f t="shared" si="385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6"/>
        <v>329</v>
      </c>
      <c r="ANW16" s="68">
        <f t="shared" si="387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8"/>
        <v>202</v>
      </c>
      <c r="AOE16" s="68">
        <f t="shared" si="389"/>
        <v>33.666666666666664</v>
      </c>
      <c r="AOF16" s="48"/>
      <c r="AOG16" s="49"/>
      <c r="AOH16" s="49"/>
      <c r="AOI16" s="49"/>
      <c r="AOJ16" s="49"/>
      <c r="AOK16" s="49"/>
      <c r="AOL16" s="67">
        <f t="shared" si="390"/>
        <v>0</v>
      </c>
      <c r="AOM16" s="68">
        <f t="shared" si="391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2"/>
        <v>330</v>
      </c>
      <c r="AOU16" s="68">
        <f t="shared" si="393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4"/>
        <v>315</v>
      </c>
      <c r="APC16" s="68">
        <f t="shared" si="395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6"/>
        <v>570</v>
      </c>
      <c r="APK16" s="68">
        <f t="shared" si="397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8"/>
        <v>401</v>
      </c>
      <c r="APS16" s="68">
        <f t="shared" si="399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400"/>
        <v>218</v>
      </c>
      <c r="AQA16" s="68">
        <f t="shared" si="401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2"/>
        <v>330</v>
      </c>
      <c r="AQI16" s="68">
        <f t="shared" si="403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4"/>
        <v>440</v>
      </c>
      <c r="AQQ16" s="68">
        <f t="shared" si="405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6"/>
        <v>460</v>
      </c>
      <c r="AQY16" s="68">
        <f t="shared" si="407"/>
        <v>76.666666666666671</v>
      </c>
      <c r="AQZ16" s="48"/>
      <c r="ARA16" s="49"/>
      <c r="ARB16" s="49"/>
      <c r="ARC16" s="49"/>
      <c r="ARD16" s="49"/>
      <c r="ARE16" s="49"/>
      <c r="ARF16" s="67">
        <f t="shared" si="408"/>
        <v>0</v>
      </c>
      <c r="ARG16" s="68">
        <f t="shared" si="409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10"/>
        <v>397</v>
      </c>
      <c r="ARO16" s="68">
        <f t="shared" si="411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2"/>
        <v>636</v>
      </c>
      <c r="ARW16" s="68">
        <f t="shared" si="413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4"/>
        <v>860</v>
      </c>
      <c r="ASE16" s="68">
        <f t="shared" si="415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6"/>
        <v>218</v>
      </c>
      <c r="ASM16" s="68">
        <f t="shared" si="417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8"/>
        <v>828</v>
      </c>
      <c r="ASU16" s="68">
        <f t="shared" si="419"/>
        <v>138</v>
      </c>
      <c r="ASV16" s="48"/>
      <c r="ASW16" s="49"/>
      <c r="ASX16" s="49"/>
      <c r="ASY16" s="49"/>
      <c r="ASZ16" s="49"/>
      <c r="ATA16" s="49"/>
      <c r="ATB16" s="67">
        <f t="shared" si="420"/>
        <v>0</v>
      </c>
      <c r="ATC16" s="68">
        <f t="shared" si="421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2"/>
        <v>393</v>
      </c>
      <c r="ATK16" s="68">
        <f t="shared" si="423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4"/>
        <v>440</v>
      </c>
      <c r="ATS16" s="68">
        <f t="shared" si="425"/>
        <v>73.333333333333329</v>
      </c>
      <c r="ATT16" s="48"/>
      <c r="ATU16" s="49"/>
      <c r="ATV16" s="49"/>
      <c r="ATW16" s="49"/>
      <c r="ATX16" s="49"/>
      <c r="ATY16" s="49"/>
      <c r="ATZ16" s="67">
        <f t="shared" si="426"/>
        <v>0</v>
      </c>
      <c r="AUA16" s="68">
        <f t="shared" si="427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8"/>
        <v>295</v>
      </c>
      <c r="AUI16" s="68">
        <f t="shared" si="429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30"/>
        <v>274</v>
      </c>
      <c r="AUQ16" s="68">
        <f t="shared" si="431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2"/>
        <v>220</v>
      </c>
      <c r="AUY16" s="68">
        <f t="shared" si="433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4"/>
        <v>217</v>
      </c>
      <c r="AVG16" s="68">
        <f t="shared" si="435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6"/>
        <v>268</v>
      </c>
      <c r="AVO16" s="68">
        <f t="shared" si="437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8"/>
        <v>107</v>
      </c>
      <c r="AVW16" s="68">
        <f t="shared" si="439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40"/>
        <v>110</v>
      </c>
      <c r="AWE16" s="68">
        <f t="shared" si="441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2"/>
        <v>92</v>
      </c>
      <c r="AWM16" s="68">
        <f t="shared" si="443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4"/>
        <v>423</v>
      </c>
      <c r="AWU16" s="43">
        <f t="shared" si="445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6"/>
        <v>216</v>
      </c>
      <c r="AXC16" s="43">
        <f t="shared" si="447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8"/>
        <v>220</v>
      </c>
      <c r="AXK16" s="43">
        <f t="shared" si="449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50"/>
        <v>217</v>
      </c>
      <c r="AXS16" s="43">
        <f t="shared" si="451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2"/>
        <v>457</v>
      </c>
      <c r="AYA16" s="43">
        <f t="shared" si="453"/>
        <v>76.166666666666671</v>
      </c>
      <c r="AYB16" s="48"/>
      <c r="AYC16" s="49"/>
      <c r="AYD16" s="49"/>
      <c r="AYE16" s="49"/>
      <c r="AYF16" s="49"/>
      <c r="AYG16" s="49"/>
      <c r="AYH16" s="42">
        <f t="shared" si="454"/>
        <v>0</v>
      </c>
      <c r="AYI16" s="43">
        <f t="shared" si="455"/>
        <v>0</v>
      </c>
      <c r="AYJ16" s="48"/>
      <c r="AYK16" s="49"/>
      <c r="AYL16" s="49"/>
      <c r="AYM16" s="49"/>
      <c r="AYN16" s="49"/>
      <c r="AYO16" s="49"/>
      <c r="AYP16" s="42">
        <f t="shared" si="456"/>
        <v>0</v>
      </c>
      <c r="AYQ16" s="43">
        <f t="shared" si="457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8"/>
        <v>330</v>
      </c>
      <c r="AYY16" s="43">
        <f t="shared" si="459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60"/>
        <v>457</v>
      </c>
      <c r="AZG16" s="43">
        <f t="shared" si="461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2"/>
        <v>219</v>
      </c>
      <c r="AZO16" s="43">
        <f t="shared" si="463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4"/>
        <v>450</v>
      </c>
      <c r="AZW16" s="43">
        <f t="shared" si="465"/>
        <v>75</v>
      </c>
      <c r="AZX16" s="82"/>
      <c r="AZY16" s="83"/>
      <c r="AZZ16" s="83"/>
      <c r="BAA16" s="83"/>
      <c r="BAB16" s="83"/>
      <c r="BAC16" s="83"/>
      <c r="BAD16" s="42">
        <f t="shared" si="466"/>
        <v>0</v>
      </c>
      <c r="BAE16" s="43">
        <f t="shared" si="467"/>
        <v>0</v>
      </c>
      <c r="BAF16" s="48"/>
      <c r="BAG16" s="49"/>
      <c r="BAH16" s="49"/>
      <c r="BAI16" s="49"/>
      <c r="BAJ16" s="49"/>
      <c r="BAK16" s="49"/>
      <c r="BAL16" s="42">
        <f t="shared" si="468"/>
        <v>0</v>
      </c>
      <c r="BAM16" s="43">
        <f t="shared" si="469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70"/>
        <v>423</v>
      </c>
      <c r="BAU16" s="43">
        <f t="shared" si="471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2"/>
        <v>110</v>
      </c>
      <c r="BBC16" s="43">
        <f t="shared" si="473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4"/>
        <v>440</v>
      </c>
      <c r="BBK16" s="43">
        <f t="shared" si="475"/>
        <v>73.333333333333329</v>
      </c>
      <c r="BBL16" s="48"/>
      <c r="BBM16" s="49"/>
      <c r="BBN16" s="49"/>
      <c r="BBO16" s="49"/>
      <c r="BBP16" s="49"/>
      <c r="BBQ16" s="49"/>
      <c r="BBR16" s="42">
        <f t="shared" si="476"/>
        <v>0</v>
      </c>
      <c r="BBS16" s="43">
        <f t="shared" si="477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8"/>
        <v>199</v>
      </c>
      <c r="BCA16" s="43">
        <f t="shared" si="479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80"/>
        <v>485</v>
      </c>
      <c r="BCI16" s="43">
        <f t="shared" si="481"/>
        <v>80.833333333333329</v>
      </c>
      <c r="BCJ16" s="48"/>
      <c r="BCK16" s="49"/>
      <c r="BCL16" s="49"/>
      <c r="BCM16" s="49"/>
      <c r="BCN16" s="49"/>
      <c r="BCO16" s="49"/>
      <c r="BCP16" s="42">
        <f t="shared" si="482"/>
        <v>0</v>
      </c>
      <c r="BCQ16" s="43">
        <f t="shared" si="483"/>
        <v>0</v>
      </c>
      <c r="BCR16" s="48"/>
      <c r="BCS16" s="49"/>
      <c r="BCT16" s="49"/>
      <c r="BCU16" s="49"/>
      <c r="BCV16" s="49"/>
      <c r="BCW16" s="49"/>
      <c r="BCX16" s="42">
        <f t="shared" si="484"/>
        <v>0</v>
      </c>
      <c r="BCY16" s="43">
        <f t="shared" si="485"/>
        <v>0</v>
      </c>
      <c r="BCZ16" s="48"/>
      <c r="BDA16" s="49"/>
      <c r="BDB16" s="49"/>
      <c r="BDC16" s="49"/>
      <c r="BDD16" s="49"/>
      <c r="BDE16" s="49"/>
      <c r="BDF16" s="42">
        <f t="shared" si="486"/>
        <v>0</v>
      </c>
      <c r="BDG16" s="43">
        <f t="shared" si="487"/>
        <v>0</v>
      </c>
      <c r="BDH16" s="48"/>
      <c r="BDI16" s="49"/>
      <c r="BDJ16" s="49"/>
      <c r="BDK16" s="49"/>
      <c r="BDL16" s="49"/>
      <c r="BDM16" s="49"/>
      <c r="BDN16" s="42">
        <f t="shared" si="488"/>
        <v>0</v>
      </c>
      <c r="BDO16" s="43">
        <f t="shared" si="489"/>
        <v>0</v>
      </c>
      <c r="BDP16" s="48"/>
      <c r="BDQ16" s="49"/>
      <c r="BDR16" s="49"/>
      <c r="BDS16" s="49"/>
      <c r="BDT16" s="49"/>
      <c r="BDU16" s="49"/>
      <c r="BDV16" s="42">
        <f t="shared" si="490"/>
        <v>0</v>
      </c>
      <c r="BDW16" s="43">
        <f t="shared" si="491"/>
        <v>0</v>
      </c>
      <c r="BDX16" s="48"/>
      <c r="BDY16" s="49"/>
      <c r="BDZ16" s="49"/>
      <c r="BEA16" s="49"/>
      <c r="BEB16" s="49"/>
      <c r="BEC16" s="49"/>
      <c r="BED16" s="42">
        <f t="shared" si="492"/>
        <v>0</v>
      </c>
      <c r="BEE16" s="43">
        <f t="shared" si="493"/>
        <v>0</v>
      </c>
      <c r="BEF16" s="48"/>
      <c r="BEG16" s="49"/>
      <c r="BEH16" s="49"/>
      <c r="BEI16" s="49"/>
      <c r="BEJ16" s="49"/>
      <c r="BEK16" s="49"/>
      <c r="BEL16" s="42">
        <f t="shared" si="494"/>
        <v>0</v>
      </c>
      <c r="BEM16" s="43">
        <f t="shared" si="495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6"/>
        <v>72</v>
      </c>
      <c r="BEU16" s="43">
        <f t="shared" si="497"/>
        <v>12</v>
      </c>
      <c r="BEV16" s="82"/>
      <c r="BEW16" s="83"/>
      <c r="BEX16" s="83"/>
      <c r="BEY16" s="83"/>
      <c r="BEZ16" s="83"/>
      <c r="BFA16" s="83"/>
      <c r="BFB16" s="42">
        <f t="shared" si="498"/>
        <v>0</v>
      </c>
      <c r="BFC16" s="43">
        <f t="shared" si="499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500"/>
        <v>325</v>
      </c>
      <c r="BFK16" s="43">
        <f t="shared" si="501"/>
        <v>54.166666666666664</v>
      </c>
      <c r="BFL16" s="48"/>
      <c r="BFM16" s="49"/>
      <c r="BFN16" s="49"/>
      <c r="BFO16" s="49"/>
      <c r="BFP16" s="49"/>
      <c r="BFQ16" s="49"/>
      <c r="BFR16" s="42">
        <f t="shared" si="502"/>
        <v>0</v>
      </c>
      <c r="BFS16" s="43">
        <f t="shared" si="503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4"/>
        <v>439</v>
      </c>
      <c r="BGA16" s="43">
        <f t="shared" si="505"/>
        <v>73.166666666666671</v>
      </c>
      <c r="BGB16" s="48"/>
      <c r="BGC16" s="49"/>
      <c r="BGD16" s="49"/>
      <c r="BGE16" s="49"/>
      <c r="BGF16" s="49"/>
      <c r="BGG16" s="49"/>
      <c r="BGH16" s="42">
        <f t="shared" si="506"/>
        <v>0</v>
      </c>
      <c r="BGI16" s="43">
        <f t="shared" si="507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8"/>
        <v>230</v>
      </c>
      <c r="BGQ16" s="43">
        <f t="shared" si="509"/>
        <v>38.333333333333336</v>
      </c>
      <c r="BGR16" s="48"/>
      <c r="BGS16" s="49"/>
      <c r="BGT16" s="49"/>
      <c r="BGU16" s="49"/>
      <c r="BGV16" s="49"/>
      <c r="BGW16" s="49"/>
      <c r="BGX16" s="42">
        <f t="shared" si="510"/>
        <v>0</v>
      </c>
      <c r="BGY16" s="43">
        <f t="shared" si="511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2"/>
        <v>215</v>
      </c>
      <c r="BHG16" s="43">
        <f t="shared" si="513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4"/>
        <v>289</v>
      </c>
      <c r="BHO16" s="43">
        <f t="shared" si="515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6"/>
        <v>5</v>
      </c>
      <c r="BHW16" s="43">
        <f t="shared" si="517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8"/>
        <v>110</v>
      </c>
      <c r="BIE16" s="43">
        <f t="shared" si="519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20"/>
        <v>213</v>
      </c>
      <c r="BIM16" s="43">
        <f t="shared" si="521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2"/>
        <v>221</v>
      </c>
      <c r="BIU16" s="43">
        <f t="shared" si="523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4"/>
        <v>439</v>
      </c>
      <c r="BJC16" s="43">
        <f t="shared" si="525"/>
        <v>73.166666666666671</v>
      </c>
      <c r="BJD16" s="48"/>
      <c r="BJE16" s="49"/>
      <c r="BJF16" s="49"/>
      <c r="BJG16" s="49"/>
      <c r="BJH16" s="49"/>
      <c r="BJI16" s="49"/>
      <c r="BJJ16" s="42">
        <f t="shared" si="526"/>
        <v>0</v>
      </c>
      <c r="BJK16" s="43">
        <f t="shared" si="527"/>
        <v>0</v>
      </c>
      <c r="BJL16" s="48"/>
      <c r="BJM16" s="49"/>
      <c r="BJN16" s="49"/>
      <c r="BJO16" s="49"/>
      <c r="BJP16" s="49"/>
      <c r="BJQ16" s="49"/>
      <c r="BJR16" s="42">
        <f t="shared" si="528"/>
        <v>0</v>
      </c>
      <c r="BJS16" s="43">
        <f t="shared" si="529"/>
        <v>0</v>
      </c>
      <c r="BJT16" s="63"/>
      <c r="BJU16" s="64"/>
      <c r="BJV16" s="64"/>
      <c r="BJW16" s="64"/>
      <c r="BJX16" s="64"/>
      <c r="BJY16" s="64"/>
      <c r="BJZ16" s="42">
        <f t="shared" si="530"/>
        <v>0</v>
      </c>
      <c r="BKA16" s="43">
        <f t="shared" si="531"/>
        <v>0</v>
      </c>
      <c r="BKB16" s="48"/>
      <c r="BKC16" s="49"/>
      <c r="BKD16" s="49"/>
      <c r="BKE16" s="49"/>
      <c r="BKF16" s="49"/>
      <c r="BKG16" s="49"/>
      <c r="BKH16" s="67">
        <f t="shared" si="532"/>
        <v>0</v>
      </c>
      <c r="BKI16" s="68">
        <f t="shared" si="533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4"/>
        <v>219</v>
      </c>
      <c r="BKQ16" s="43">
        <f t="shared" si="535"/>
        <v>36.5</v>
      </c>
      <c r="BKR16" s="48"/>
      <c r="BKS16" s="49"/>
      <c r="BKT16" s="49"/>
      <c r="BKU16" s="49"/>
      <c r="BKV16" s="49"/>
      <c r="BKW16" s="49"/>
      <c r="BKX16" s="42">
        <f t="shared" si="536"/>
        <v>0</v>
      </c>
      <c r="BKY16" s="43">
        <f t="shared" si="537"/>
        <v>0</v>
      </c>
      <c r="BKZ16" s="48"/>
      <c r="BLA16" s="49"/>
      <c r="BLB16" s="49"/>
      <c r="BLC16" s="49"/>
      <c r="BLD16" s="49"/>
      <c r="BLE16" s="49"/>
      <c r="BLF16" s="42">
        <f t="shared" si="538"/>
        <v>0</v>
      </c>
      <c r="BLG16" s="43">
        <f t="shared" si="539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40"/>
        <v>452</v>
      </c>
      <c r="BLO16" s="43">
        <f t="shared" si="541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2"/>
        <v>110</v>
      </c>
      <c r="BLW16" s="43">
        <f t="shared" si="543"/>
        <v>18.333333333333332</v>
      </c>
      <c r="BLX16" s="63"/>
      <c r="BLY16" s="64"/>
      <c r="BLZ16" s="64"/>
      <c r="BMA16" s="64"/>
      <c r="BMB16" s="64"/>
      <c r="BMC16" s="64"/>
      <c r="BMD16" s="42">
        <f t="shared" si="544"/>
        <v>0</v>
      </c>
      <c r="BME16" s="43">
        <f t="shared" si="545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6"/>
        <v>220</v>
      </c>
      <c r="BMM16" s="43">
        <f t="shared" si="547"/>
        <v>36.666666666666664</v>
      </c>
      <c r="BMN16" s="63"/>
      <c r="BMO16" s="64"/>
      <c r="BMP16" s="64"/>
      <c r="BMQ16" s="64"/>
      <c r="BMR16" s="64"/>
      <c r="BMS16" s="64"/>
      <c r="BMT16" s="42">
        <f t="shared" si="548"/>
        <v>0</v>
      </c>
      <c r="BMU16" s="43">
        <f t="shared" si="549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50"/>
        <v>200</v>
      </c>
      <c r="BNC16" s="43">
        <f t="shared" si="551"/>
        <v>33.333333333333336</v>
      </c>
      <c r="BND16" s="48"/>
      <c r="BNE16" s="49"/>
      <c r="BNF16" s="49"/>
      <c r="BNG16" s="49"/>
      <c r="BNH16" s="49"/>
      <c r="BNI16" s="49"/>
      <c r="BNJ16" s="42">
        <f t="shared" si="552"/>
        <v>0</v>
      </c>
      <c r="BNK16" s="43">
        <f t="shared" si="553"/>
        <v>0</v>
      </c>
      <c r="BNL16" s="48"/>
      <c r="BNM16" s="49"/>
      <c r="BNN16" s="49"/>
      <c r="BNO16" s="49"/>
      <c r="BNP16" s="49"/>
      <c r="BNQ16" s="49"/>
      <c r="BNR16" s="42">
        <f t="shared" si="554"/>
        <v>0</v>
      </c>
      <c r="BNS16" s="43">
        <f t="shared" si="555"/>
        <v>0</v>
      </c>
      <c r="BNT16" s="48"/>
      <c r="BNU16" s="49"/>
      <c r="BNV16" s="49"/>
      <c r="BNW16" s="49"/>
      <c r="BNX16" s="49"/>
      <c r="BNY16" s="49"/>
      <c r="BNZ16" s="42">
        <f t="shared" si="556"/>
        <v>0</v>
      </c>
      <c r="BOA16" s="43">
        <f t="shared" si="557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8"/>
        <v>306</v>
      </c>
      <c r="BOI16" s="43">
        <f t="shared" si="559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60"/>
        <v>220</v>
      </c>
      <c r="BOQ16" s="43">
        <f t="shared" si="561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2"/>
        <v>293</v>
      </c>
      <c r="BOY16" s="43">
        <f t="shared" si="563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4"/>
        <v>89</v>
      </c>
      <c r="BPG16" s="43">
        <f t="shared" si="565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6"/>
        <v>111</v>
      </c>
      <c r="BPO16" s="43">
        <f t="shared" si="567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8"/>
        <v>220</v>
      </c>
      <c r="BPW16" s="43">
        <f t="shared" si="569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70"/>
        <v>217</v>
      </c>
      <c r="BQE16" s="43">
        <f t="shared" si="571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2"/>
        <v>219</v>
      </c>
      <c r="BQM16" s="43">
        <f t="shared" si="573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4"/>
        <v>200</v>
      </c>
      <c r="BQU16" s="43">
        <f t="shared" si="575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6"/>
        <v>222</v>
      </c>
      <c r="BRC16" s="43">
        <f t="shared" si="577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8"/>
        <v>219</v>
      </c>
      <c r="BRK16" s="43">
        <f t="shared" si="579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80"/>
        <v>218</v>
      </c>
      <c r="BRS16" s="68">
        <f t="shared" si="581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2"/>
        <v>220</v>
      </c>
      <c r="BSA16" s="43">
        <f t="shared" si="583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4"/>
        <v>218</v>
      </c>
      <c r="BSI16" s="43">
        <f t="shared" si="585"/>
        <v>36.333333333333336</v>
      </c>
      <c r="BSJ16" s="63"/>
      <c r="BSK16" s="64"/>
      <c r="BSL16" s="64"/>
      <c r="BSM16" s="64"/>
      <c r="BSN16" s="64"/>
      <c r="BSO16" s="64"/>
      <c r="BSP16" s="67">
        <f t="shared" si="586"/>
        <v>0</v>
      </c>
      <c r="BSQ16" s="43">
        <f t="shared" si="587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8"/>
        <v>441</v>
      </c>
      <c r="BSY16" s="43">
        <f t="shared" si="589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90"/>
        <v>110</v>
      </c>
      <c r="BTG16" s="43">
        <f t="shared" si="591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2"/>
        <v>512</v>
      </c>
      <c r="BTO16" s="68">
        <f t="shared" si="593"/>
        <v>85.333333333333329</v>
      </c>
      <c r="BTP16" s="48"/>
      <c r="BTQ16" s="49"/>
      <c r="BTR16" s="49"/>
      <c r="BTS16" s="49"/>
      <c r="BTT16" s="49"/>
      <c r="BTU16" s="49"/>
      <c r="BTV16" s="67">
        <f t="shared" si="594"/>
        <v>0</v>
      </c>
      <c r="BTW16" s="43">
        <f t="shared" si="595"/>
        <v>0</v>
      </c>
      <c r="BTX16" s="63"/>
      <c r="BTY16" s="64"/>
      <c r="BTZ16" s="64"/>
      <c r="BUA16" s="64"/>
      <c r="BUB16" s="64"/>
      <c r="BUC16" s="64"/>
      <c r="BUD16" s="67">
        <f t="shared" si="596"/>
        <v>0</v>
      </c>
      <c r="BUE16" s="68">
        <f t="shared" si="597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8"/>
        <v>372</v>
      </c>
      <c r="BUM16" s="68">
        <f t="shared" si="599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600"/>
        <v>80</v>
      </c>
      <c r="BUU16" s="68">
        <f t="shared" si="601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2"/>
        <v>109</v>
      </c>
      <c r="BVC16" s="68">
        <f t="shared" si="603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4"/>
        <v>220</v>
      </c>
      <c r="BVK16" s="68">
        <f t="shared" si="605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6"/>
        <v>363</v>
      </c>
      <c r="BVS16" s="68">
        <f t="shared" si="607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8"/>
        <v>337</v>
      </c>
      <c r="BWA16" s="68">
        <f t="shared" si="609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10"/>
        <v>317</v>
      </c>
      <c r="BWI16" s="68">
        <f t="shared" si="611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2"/>
        <v>220</v>
      </c>
      <c r="BWQ16" s="68">
        <f t="shared" si="613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4"/>
        <v>215</v>
      </c>
      <c r="BWY16" s="68">
        <f t="shared" si="615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6"/>
        <v>220</v>
      </c>
      <c r="BXG16" s="68">
        <f t="shared" si="617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8"/>
        <v>220</v>
      </c>
      <c r="BXO16" s="68">
        <f t="shared" si="619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20"/>
        <v>36.666666666666664</v>
      </c>
      <c r="BXX16" s="48"/>
      <c r="BXY16" s="49"/>
      <c r="BXZ16" s="49"/>
      <c r="BYA16" s="49"/>
      <c r="BYB16" s="49"/>
      <c r="BYC16" s="49"/>
      <c r="BYD16" s="67">
        <f t="shared" si="621"/>
        <v>0</v>
      </c>
      <c r="BYE16" s="68">
        <f t="shared" si="622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3"/>
        <v>113</v>
      </c>
      <c r="BYM16" s="68">
        <f t="shared" si="624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5"/>
        <v>419</v>
      </c>
      <c r="BYU16" s="68">
        <f t="shared" si="626"/>
        <v>69.833333333333329</v>
      </c>
      <c r="BYV16" s="48"/>
      <c r="BYW16" s="49"/>
      <c r="BYX16" s="49"/>
      <c r="BYY16" s="49"/>
      <c r="BYZ16" s="49"/>
      <c r="BZA16" s="49"/>
      <c r="BZB16" s="67">
        <f t="shared" si="627"/>
        <v>0</v>
      </c>
      <c r="BZC16" s="68">
        <f t="shared" si="628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9"/>
        <v>317</v>
      </c>
      <c r="BZK16" s="68">
        <f t="shared" si="630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31"/>
        <v>398</v>
      </c>
      <c r="BZS16" s="68">
        <f t="shared" si="632"/>
        <v>66.333333333333329</v>
      </c>
      <c r="BZT16" s="48"/>
      <c r="BZU16" s="49"/>
      <c r="BZV16" s="49"/>
      <c r="BZW16" s="49"/>
      <c r="BZX16" s="49"/>
      <c r="BZY16" s="49"/>
      <c r="BZZ16" s="67">
        <f t="shared" si="633"/>
        <v>0</v>
      </c>
      <c r="CAA16" s="68">
        <f t="shared" si="634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5"/>
        <v>324</v>
      </c>
      <c r="CAI16" s="68">
        <f t="shared" si="636"/>
        <v>54</v>
      </c>
      <c r="CAJ16" s="63"/>
      <c r="CAK16" s="64"/>
      <c r="CAL16" s="64"/>
      <c r="CAM16" s="64"/>
      <c r="CAN16" s="64"/>
      <c r="CAO16" s="64"/>
      <c r="CAP16" s="67">
        <f t="shared" si="637"/>
        <v>0</v>
      </c>
      <c r="CAQ16" s="68">
        <f t="shared" si="638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9"/>
        <v>120</v>
      </c>
      <c r="CAY16" s="68">
        <f t="shared" si="640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41"/>
        <v>198</v>
      </c>
      <c r="CBG16" s="68">
        <f t="shared" si="642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3"/>
        <v>120</v>
      </c>
      <c r="CBO16" s="68">
        <f t="shared" si="644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5"/>
        <v>548</v>
      </c>
      <c r="CBW16" s="68">
        <f t="shared" si="646"/>
        <v>91.333333333333329</v>
      </c>
      <c r="CBX16" s="48"/>
      <c r="CBY16" s="49"/>
      <c r="CBZ16" s="49"/>
      <c r="CCA16" s="49"/>
      <c r="CCB16" s="49"/>
      <c r="CCC16" s="49"/>
      <c r="CCD16" s="67">
        <f t="shared" si="647"/>
        <v>0</v>
      </c>
      <c r="CCE16" s="68">
        <f t="shared" si="648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9"/>
        <v>417</v>
      </c>
      <c r="CCM16" s="68">
        <f t="shared" si="650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51"/>
        <v>329</v>
      </c>
      <c r="CCU16" s="68">
        <f t="shared" si="652"/>
        <v>54.833333333333336</v>
      </c>
      <c r="CCV16" s="48"/>
      <c r="CCW16" s="49"/>
      <c r="CCX16" s="49"/>
      <c r="CCY16" s="49"/>
      <c r="CCZ16" s="49"/>
      <c r="CDA16" s="49"/>
      <c r="CDB16" s="67">
        <f t="shared" si="653"/>
        <v>0</v>
      </c>
      <c r="CDC16" s="68">
        <f t="shared" si="654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5"/>
        <v>220</v>
      </c>
      <c r="CDK16" s="68">
        <f t="shared" si="656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7"/>
        <v>545</v>
      </c>
      <c r="CDS16" s="68">
        <f t="shared" si="658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9"/>
        <v>573</v>
      </c>
      <c r="CEA16" s="68">
        <f t="shared" si="660"/>
        <v>95.5</v>
      </c>
      <c r="CEB16" s="48"/>
      <c r="CEC16" s="49"/>
      <c r="CED16" s="49"/>
      <c r="CEE16" s="49"/>
      <c r="CEF16" s="49"/>
      <c r="CEG16" s="49"/>
      <c r="CEH16" s="67">
        <f t="shared" si="661"/>
        <v>0</v>
      </c>
      <c r="CEI16" s="68">
        <f t="shared" si="662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3"/>
        <v>463</v>
      </c>
      <c r="CEQ16" s="68">
        <f t="shared" si="664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5"/>
        <v>222</v>
      </c>
      <c r="CEY16" s="68">
        <f t="shared" si="666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7"/>
        <v>215</v>
      </c>
      <c r="CFG16" s="68">
        <f t="shared" si="668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9"/>
        <v>549</v>
      </c>
      <c r="CFO16" s="68">
        <f t="shared" si="670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71"/>
        <v>452</v>
      </c>
      <c r="CFW16" s="68">
        <f t="shared" si="672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3"/>
        <v>448</v>
      </c>
      <c r="CGE16" s="68">
        <f t="shared" si="674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5"/>
        <v>199</v>
      </c>
      <c r="CGM16" s="68">
        <f t="shared" si="676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7"/>
        <v>219</v>
      </c>
      <c r="CGU16" s="68">
        <f t="shared" si="678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9"/>
        <v>901</v>
      </c>
      <c r="CHC16" s="68">
        <f t="shared" si="680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81"/>
        <v>109</v>
      </c>
      <c r="CHK16" s="68">
        <f t="shared" si="682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3"/>
        <v>319</v>
      </c>
      <c r="CHS16" s="68">
        <f t="shared" si="684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5"/>
        <v>409</v>
      </c>
      <c r="CIA16" s="68">
        <f t="shared" si="686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7"/>
        <v>330</v>
      </c>
      <c r="CII16" s="68">
        <f t="shared" si="688"/>
        <v>55</v>
      </c>
      <c r="CIJ16" s="63"/>
      <c r="CIK16" s="64"/>
      <c r="CIL16" s="64"/>
      <c r="CIM16" s="64"/>
      <c r="CIN16" s="64"/>
      <c r="CIO16" s="64"/>
      <c r="CIP16" s="67">
        <f t="shared" si="689"/>
        <v>0</v>
      </c>
      <c r="CIQ16" s="68">
        <f t="shared" si="690"/>
        <v>0</v>
      </c>
      <c r="CIR16" s="48"/>
      <c r="CIS16" s="49"/>
      <c r="CIT16" s="49"/>
      <c r="CIU16" s="49"/>
      <c r="CIV16" s="49"/>
      <c r="CIW16" s="49"/>
      <c r="CIX16" s="67">
        <f t="shared" si="691"/>
        <v>0</v>
      </c>
      <c r="CIY16" s="68">
        <f t="shared" si="692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3"/>
        <v>439</v>
      </c>
      <c r="CJG16" s="68">
        <f t="shared" si="1206"/>
        <v>73.166666666666671</v>
      </c>
      <c r="CJH16" s="48"/>
      <c r="CJI16" s="49"/>
      <c r="CJJ16" s="49"/>
      <c r="CJK16" s="49"/>
      <c r="CJL16" s="49"/>
      <c r="CJM16" s="49"/>
      <c r="CJN16" s="67">
        <f t="shared" si="694"/>
        <v>0</v>
      </c>
      <c r="CJO16" s="68">
        <f t="shared" si="695"/>
        <v>0</v>
      </c>
      <c r="CJP16" s="48"/>
      <c r="CJQ16" s="49"/>
      <c r="CJR16" s="49"/>
      <c r="CJS16" s="49"/>
      <c r="CJT16" s="49"/>
      <c r="CJU16" s="49"/>
      <c r="CJV16" s="67">
        <f t="shared" si="696"/>
        <v>0</v>
      </c>
      <c r="CJW16" s="68">
        <f t="shared" si="697"/>
        <v>0</v>
      </c>
      <c r="CJX16" s="48"/>
      <c r="CJY16" s="49"/>
      <c r="CJZ16" s="49"/>
      <c r="CKA16" s="49"/>
      <c r="CKB16" s="49"/>
      <c r="CKC16" s="49"/>
      <c r="CKD16" s="67">
        <f t="shared" si="698"/>
        <v>0</v>
      </c>
      <c r="CKE16" s="68">
        <f t="shared" si="699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700"/>
        <v>329</v>
      </c>
      <c r="CKM16" s="68">
        <f t="shared" si="701"/>
        <v>54.833333333333336</v>
      </c>
      <c r="CKN16" s="48"/>
      <c r="CKO16" s="49"/>
      <c r="CKP16" s="49"/>
      <c r="CKQ16" s="49"/>
      <c r="CKR16" s="49"/>
      <c r="CKS16" s="47"/>
      <c r="CKT16" s="67">
        <f t="shared" si="702"/>
        <v>0</v>
      </c>
      <c r="CKU16" s="68">
        <f t="shared" si="703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4"/>
        <v>424</v>
      </c>
      <c r="CLC16" s="68">
        <f t="shared" si="705"/>
        <v>70.666666666666671</v>
      </c>
      <c r="CLD16" s="48"/>
      <c r="CLE16" s="49"/>
      <c r="CLF16" s="49"/>
      <c r="CLG16" s="49"/>
      <c r="CLH16" s="49"/>
      <c r="CLI16" s="49"/>
      <c r="CLJ16" s="67">
        <f t="shared" si="706"/>
        <v>0</v>
      </c>
      <c r="CLK16" s="68">
        <f t="shared" si="707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8"/>
        <v>114</v>
      </c>
      <c r="CLS16" s="68">
        <f t="shared" si="709"/>
        <v>19</v>
      </c>
      <c r="CLT16" s="63"/>
      <c r="CLU16" s="64"/>
      <c r="CLV16" s="64"/>
      <c r="CLW16" s="64"/>
      <c r="CLX16" s="64"/>
      <c r="CLY16" s="64"/>
      <c r="CLZ16" s="67">
        <f t="shared" si="710"/>
        <v>0</v>
      </c>
      <c r="CMA16" s="68">
        <f t="shared" si="711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2"/>
        <v>109</v>
      </c>
      <c r="CMI16" s="68">
        <f t="shared" si="713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4"/>
        <v>98</v>
      </c>
      <c r="CMQ16" s="68">
        <f t="shared" si="715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6"/>
        <v>383</v>
      </c>
      <c r="CMY16" s="68">
        <f t="shared" si="717"/>
        <v>63.833333333333336</v>
      </c>
      <c r="CMZ16" s="63"/>
      <c r="CNA16" s="64"/>
      <c r="CNB16" s="64"/>
      <c r="CNC16" s="64"/>
      <c r="CND16" s="64"/>
      <c r="CNE16" s="64"/>
      <c r="CNF16" s="67">
        <f t="shared" si="718"/>
        <v>0</v>
      </c>
      <c r="CNG16" s="68">
        <f t="shared" si="719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20"/>
        <v>547</v>
      </c>
      <c r="CNO16" s="68">
        <f t="shared" si="721"/>
        <v>91.166666666666671</v>
      </c>
      <c r="CNP16" s="63"/>
      <c r="CNQ16" s="64"/>
      <c r="CNR16" s="64"/>
      <c r="CNS16" s="64"/>
      <c r="CNT16" s="64"/>
      <c r="CNU16" s="64"/>
      <c r="CNV16" s="67">
        <f t="shared" si="722"/>
        <v>0</v>
      </c>
      <c r="CNW16" s="68">
        <f t="shared" si="723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4"/>
        <v>215</v>
      </c>
      <c r="COE16" s="68">
        <f t="shared" si="725"/>
        <v>35.833333333333336</v>
      </c>
      <c r="COF16" s="48"/>
      <c r="COG16" s="49"/>
      <c r="COH16" s="49"/>
      <c r="COI16" s="49"/>
      <c r="COJ16" s="49"/>
      <c r="COK16" s="49"/>
      <c r="COL16" s="67">
        <f t="shared" si="726"/>
        <v>0</v>
      </c>
      <c r="COM16" s="68">
        <f t="shared" si="727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8"/>
        <v>329</v>
      </c>
      <c r="COU16" s="68">
        <f t="shared" si="729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30"/>
        <v>0</v>
      </c>
      <c r="CPC16" s="68">
        <f t="shared" si="731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2"/>
        <v>111</v>
      </c>
      <c r="CPK16" s="68">
        <f t="shared" si="733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4"/>
        <v>110</v>
      </c>
      <c r="CPS16" s="68">
        <f t="shared" si="735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6"/>
        <v>110</v>
      </c>
      <c r="CQA16" s="68">
        <f t="shared" si="737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8"/>
        <v>220</v>
      </c>
      <c r="CQI16" s="68">
        <f t="shared" si="739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40"/>
        <v>110</v>
      </c>
      <c r="CQQ16" s="68">
        <f t="shared" si="741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2"/>
        <v>221</v>
      </c>
      <c r="CQY16" s="68">
        <f t="shared" si="743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4"/>
        <v>108</v>
      </c>
      <c r="CRG16" s="68">
        <f t="shared" si="745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6"/>
        <v>110</v>
      </c>
      <c r="CRO16" s="68">
        <f t="shared" si="747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8"/>
        <v>217</v>
      </c>
      <c r="CRW16" s="68">
        <f t="shared" si="749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50"/>
        <v>109</v>
      </c>
      <c r="CSE16" s="68">
        <f t="shared" si="751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2"/>
        <v>440</v>
      </c>
      <c r="CSM16" s="68">
        <f t="shared" si="753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4"/>
        <v>221</v>
      </c>
      <c r="CSU16" s="68">
        <f t="shared" si="755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6"/>
        <v>215</v>
      </c>
      <c r="CTC16" s="68">
        <f t="shared" si="757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8"/>
        <v>205</v>
      </c>
      <c r="CTK16" s="68">
        <f t="shared" si="759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60"/>
        <v>220</v>
      </c>
      <c r="CTS16" s="68">
        <f t="shared" si="761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2"/>
        <v>220</v>
      </c>
      <c r="CUA16" s="68">
        <f t="shared" si="763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4"/>
        <v>111</v>
      </c>
      <c r="CUI16" s="68">
        <f t="shared" si="765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6"/>
        <v>0</v>
      </c>
      <c r="CUQ16" s="68">
        <f t="shared" si="767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8"/>
        <v>546</v>
      </c>
      <c r="CUY16" s="68">
        <f t="shared" si="769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70"/>
        <v>0</v>
      </c>
      <c r="CVG16" s="68">
        <f t="shared" si="771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2"/>
        <v>201</v>
      </c>
      <c r="CVO16" s="68">
        <f t="shared" si="773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4"/>
        <v>220</v>
      </c>
      <c r="CVW16" s="68">
        <f t="shared" si="775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6"/>
        <v>218</v>
      </c>
      <c r="CWE16" s="68">
        <f t="shared" si="777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8"/>
        <v>212</v>
      </c>
      <c r="CWM16" s="68">
        <f t="shared" si="779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80"/>
        <v>105</v>
      </c>
      <c r="CWU16" s="68">
        <f t="shared" si="781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2"/>
        <v>111</v>
      </c>
      <c r="CXC16" s="43">
        <f t="shared" si="783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4"/>
        <v>220</v>
      </c>
      <c r="CXK16" s="43">
        <f t="shared" si="785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6"/>
        <v>190</v>
      </c>
      <c r="CXS16" s="43">
        <f t="shared" si="787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8"/>
        <v>220</v>
      </c>
      <c r="CYA16" s="43">
        <f t="shared" si="789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90"/>
        <v>220</v>
      </c>
      <c r="CYI16" s="43">
        <f t="shared" si="791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2"/>
        <v>337</v>
      </c>
      <c r="CYQ16" s="43">
        <f t="shared" si="793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4"/>
        <v>327</v>
      </c>
      <c r="CYY16" s="43">
        <f t="shared" si="795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6"/>
        <v>329</v>
      </c>
      <c r="CZG16" s="43">
        <f t="shared" si="797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8"/>
        <v>209</v>
      </c>
      <c r="CZO16" s="43">
        <f t="shared" si="799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800"/>
        <v>0</v>
      </c>
      <c r="CZW16" s="43">
        <f t="shared" si="801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2"/>
        <v>379</v>
      </c>
      <c r="DAE16" s="68">
        <f t="shared" si="803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4"/>
        <v>329</v>
      </c>
      <c r="DAM16" s="68">
        <f t="shared" si="805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6"/>
        <v>220</v>
      </c>
      <c r="DAU16" s="68">
        <f t="shared" si="807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8"/>
        <v>221</v>
      </c>
      <c r="DBC16" s="68">
        <f t="shared" si="809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10"/>
        <v>220</v>
      </c>
      <c r="DBK16" s="68">
        <f t="shared" si="811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2"/>
        <v>108</v>
      </c>
      <c r="DBS16" s="68">
        <f t="shared" si="813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4"/>
        <v>331</v>
      </c>
      <c r="DCA16" s="68">
        <f t="shared" si="815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6"/>
        <v>0</v>
      </c>
      <c r="DCI16" s="68">
        <f t="shared" si="817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8"/>
        <v>335</v>
      </c>
      <c r="DCQ16" s="68">
        <f t="shared" si="819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20"/>
        <v>446</v>
      </c>
      <c r="DCY16" s="68">
        <f t="shared" si="821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2"/>
        <v>110</v>
      </c>
      <c r="DDG16" s="68">
        <f t="shared" si="823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4"/>
        <v>219</v>
      </c>
      <c r="DDO16" s="43">
        <f t="shared" si="825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6"/>
        <v>0</v>
      </c>
      <c r="DDW16" s="43">
        <f t="shared" si="827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8"/>
        <v>198</v>
      </c>
      <c r="DEE16" s="43">
        <f t="shared" si="829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30"/>
        <v>111</v>
      </c>
      <c r="DEM16" s="43">
        <f t="shared" si="831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2"/>
        <v>110</v>
      </c>
      <c r="DEU16" s="43">
        <f t="shared" si="833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4"/>
        <v>110</v>
      </c>
      <c r="DFC16" s="43">
        <f t="shared" si="835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6"/>
        <v>259</v>
      </c>
      <c r="DFK16" s="43">
        <f t="shared" si="837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8"/>
        <v>86</v>
      </c>
      <c r="DFS16" s="68">
        <f t="shared" si="839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40"/>
        <v>224</v>
      </c>
      <c r="DGA16" s="43">
        <f t="shared" si="841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2"/>
        <v>332</v>
      </c>
      <c r="DGI16" s="43">
        <f t="shared" si="843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4"/>
        <v>226</v>
      </c>
      <c r="DGQ16" s="68">
        <f t="shared" si="845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6"/>
        <v>111</v>
      </c>
      <c r="DGY16" s="68">
        <f t="shared" si="847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8"/>
        <v>338</v>
      </c>
      <c r="DHG16" s="68">
        <f t="shared" si="849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50"/>
        <v>261</v>
      </c>
      <c r="DHO16" s="68">
        <f t="shared" si="851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2"/>
        <v>330</v>
      </c>
      <c r="DHW16" s="68">
        <f t="shared" si="853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4"/>
        <v>220</v>
      </c>
      <c r="DIE16" s="68">
        <f t="shared" si="855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6"/>
        <v>119</v>
      </c>
      <c r="DIM16" s="68">
        <f t="shared" si="857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8"/>
        <v>110</v>
      </c>
      <c r="DIU16" s="68">
        <f t="shared" si="859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60"/>
        <v>221</v>
      </c>
      <c r="DJC16" s="68">
        <f t="shared" si="861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2"/>
        <v>106</v>
      </c>
      <c r="DJK16" s="68">
        <f t="shared" si="863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4"/>
        <v>330</v>
      </c>
      <c r="DJS16" s="68">
        <f t="shared" si="865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6"/>
        <v>221</v>
      </c>
      <c r="DKA16" s="68">
        <f t="shared" si="867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8"/>
        <v>332</v>
      </c>
      <c r="DKI16" s="68">
        <f t="shared" si="869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70"/>
        <v>218</v>
      </c>
      <c r="DKQ16" s="68">
        <f t="shared" si="871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2"/>
        <v>220</v>
      </c>
      <c r="DKY16" s="68">
        <f t="shared" si="873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4"/>
        <v>220</v>
      </c>
      <c r="DLG16" s="68">
        <f t="shared" si="875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6"/>
        <v>220</v>
      </c>
      <c r="DLO16" s="68">
        <f t="shared" si="877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8"/>
        <v>248</v>
      </c>
      <c r="DLW16" s="68">
        <f t="shared" si="879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80"/>
        <v>218</v>
      </c>
      <c r="DME16" s="68">
        <f t="shared" si="881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2"/>
        <v>110</v>
      </c>
      <c r="DMM16" s="68">
        <f t="shared" si="883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4"/>
        <v>110</v>
      </c>
      <c r="DMU16" s="68">
        <f t="shared" si="885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6"/>
        <v>219</v>
      </c>
      <c r="DNC16" s="68">
        <f t="shared" si="887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8"/>
        <v>110</v>
      </c>
      <c r="DNK16" s="68">
        <f t="shared" si="889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90"/>
        <v>246</v>
      </c>
      <c r="DNS16" s="68">
        <f t="shared" si="891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2"/>
        <v>220</v>
      </c>
      <c r="DOA16" s="68">
        <f t="shared" si="893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4"/>
        <v>0</v>
      </c>
      <c r="DOI16" s="68">
        <f t="shared" si="895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6"/>
        <v>323</v>
      </c>
      <c r="DOQ16" s="68">
        <f t="shared" si="897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8"/>
        <v>220</v>
      </c>
      <c r="DOY16" s="68">
        <f t="shared" si="899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900"/>
        <v>221</v>
      </c>
      <c r="DPG16" s="68">
        <f t="shared" si="901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2"/>
        <v>215</v>
      </c>
      <c r="DPO16" s="68">
        <f t="shared" si="903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4"/>
        <v>220</v>
      </c>
      <c r="DPW16" s="492">
        <f t="shared" si="905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6"/>
        <v>330</v>
      </c>
      <c r="DQE16" s="492">
        <f t="shared" si="907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8"/>
        <v>110</v>
      </c>
      <c r="DQM16" s="492">
        <f t="shared" si="909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10"/>
        <v>331</v>
      </c>
      <c r="DQU16" s="68">
        <f t="shared" si="911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2"/>
        <v>331</v>
      </c>
      <c r="DRC16" s="492">
        <f t="shared" si="913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4"/>
        <v>440</v>
      </c>
      <c r="DRK16" s="492">
        <f t="shared" si="915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6"/>
        <v>220</v>
      </c>
      <c r="DRS16" s="68">
        <f t="shared" si="917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8"/>
        <v>110</v>
      </c>
      <c r="DSA16" s="68">
        <f t="shared" si="919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20"/>
        <v>110</v>
      </c>
      <c r="DSI16" s="68">
        <f t="shared" si="921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2"/>
        <v>0</v>
      </c>
      <c r="DSQ16" s="68">
        <f t="shared" si="923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4"/>
        <v>0</v>
      </c>
      <c r="DSY16" s="68">
        <f t="shared" si="925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6"/>
        <v>200</v>
      </c>
      <c r="DTG16" s="68">
        <f t="shared" si="927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8"/>
        <v>0</v>
      </c>
      <c r="DTO16" s="68">
        <f t="shared" si="929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30"/>
        <v>0</v>
      </c>
      <c r="DTW16" s="68">
        <f t="shared" si="931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2"/>
        <v>0</v>
      </c>
      <c r="DUE16" s="68">
        <f t="shared" si="933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4"/>
        <v>0</v>
      </c>
      <c r="DUM16" s="68">
        <f t="shared" si="935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6"/>
        <v>214</v>
      </c>
      <c r="DUU16" s="184">
        <f t="shared" si="937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8"/>
        <v>0</v>
      </c>
      <c r="DVC16" s="68">
        <f t="shared" si="939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40"/>
        <v>221</v>
      </c>
      <c r="DVK16" s="68">
        <f t="shared" si="941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2"/>
        <v>110</v>
      </c>
      <c r="DVS16" s="68">
        <f t="shared" si="943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4"/>
        <v>200</v>
      </c>
      <c r="DWA16" s="68">
        <f t="shared" si="945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6"/>
        <v>110</v>
      </c>
      <c r="DWI16" s="68">
        <f t="shared" si="947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8"/>
        <v>219</v>
      </c>
      <c r="DWQ16" s="68">
        <f t="shared" si="949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50"/>
        <v>221</v>
      </c>
      <c r="DWY16" s="68">
        <f t="shared" si="1207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51"/>
        <v>110</v>
      </c>
      <c r="DXG16" s="68">
        <f t="shared" si="952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3"/>
        <v>110</v>
      </c>
      <c r="DXO16" s="68">
        <f t="shared" si="954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5"/>
        <v>221</v>
      </c>
      <c r="DXW16" s="68">
        <f t="shared" si="956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7"/>
        <v>110</v>
      </c>
      <c r="DYE16" s="68">
        <f t="shared" si="958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9"/>
        <v>223</v>
      </c>
      <c r="DYM16" s="68">
        <f t="shared" si="960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61"/>
        <v>124</v>
      </c>
      <c r="DYU16" s="68">
        <f t="shared" si="962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3"/>
        <v>110</v>
      </c>
      <c r="DZC16" s="68">
        <f t="shared" si="964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5"/>
        <v>211</v>
      </c>
      <c r="DZK16" s="68">
        <f t="shared" si="966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7"/>
        <v>0</v>
      </c>
      <c r="DZS16" s="68">
        <f t="shared" si="968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9"/>
        <v>219</v>
      </c>
      <c r="EAA16" s="68">
        <f t="shared" si="970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71"/>
        <v>221</v>
      </c>
      <c r="EAI16" s="68">
        <f t="shared" si="972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3"/>
        <v>0</v>
      </c>
      <c r="EAQ16" s="68">
        <f t="shared" si="1208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4"/>
        <v>220</v>
      </c>
      <c r="EAY16" s="68">
        <f t="shared" si="975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6"/>
        <v>221</v>
      </c>
      <c r="EBG16" s="68">
        <f t="shared" si="977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8"/>
        <v>220</v>
      </c>
      <c r="EBO16" s="68">
        <f t="shared" si="1137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9"/>
        <v>220</v>
      </c>
      <c r="EBW16" s="68">
        <f t="shared" si="980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81"/>
        <v>110</v>
      </c>
      <c r="ECE16" s="68">
        <f t="shared" si="982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3"/>
        <v>216</v>
      </c>
      <c r="ECM16" s="68">
        <f t="shared" si="984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5"/>
        <v>110</v>
      </c>
      <c r="ECU16" s="68">
        <f t="shared" si="986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7"/>
        <v>329</v>
      </c>
      <c r="EDC16" s="68">
        <f t="shared" si="988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9"/>
        <v>219</v>
      </c>
      <c r="EDK16" s="68">
        <f t="shared" si="990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91"/>
        <v>0</v>
      </c>
      <c r="EDS16" s="184">
        <f t="shared" si="992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3"/>
        <v>112</v>
      </c>
      <c r="EEA16" s="184">
        <f t="shared" si="994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5"/>
        <v>330</v>
      </c>
      <c r="EEI16" s="68">
        <f t="shared" si="996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7"/>
        <v>0</v>
      </c>
      <c r="EEQ16" s="68">
        <f t="shared" si="998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9"/>
        <v>110</v>
      </c>
      <c r="EEY16" s="68">
        <f t="shared" si="1000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1"/>
        <v>220</v>
      </c>
      <c r="EFG16" s="68">
        <f t="shared" si="1002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3"/>
        <v>0</v>
      </c>
      <c r="EFO16" s="68">
        <f t="shared" si="1004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5"/>
        <v>220</v>
      </c>
      <c r="EFW16" s="68">
        <f t="shared" si="1006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7"/>
        <v>0</v>
      </c>
      <c r="EGE16" s="68">
        <f t="shared" si="1008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9"/>
        <v>220</v>
      </c>
      <c r="EGM16" s="68">
        <f t="shared" si="1010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11"/>
        <v>110</v>
      </c>
      <c r="EGU16" s="68">
        <f t="shared" si="1209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2"/>
        <v>0</v>
      </c>
      <c r="EHC16" s="68">
        <f t="shared" si="1013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4"/>
        <v>0</v>
      </c>
      <c r="EHK16" s="68">
        <f t="shared" si="1015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6"/>
        <v>311</v>
      </c>
      <c r="EHS16" s="68">
        <f t="shared" si="1017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8"/>
        <v>220</v>
      </c>
      <c r="EIA16" s="68">
        <f t="shared" si="1019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20"/>
        <v>330</v>
      </c>
      <c r="EII16" s="68">
        <f t="shared" si="1021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2"/>
        <v>110</v>
      </c>
      <c r="EIQ16" s="68">
        <f t="shared" si="1023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4"/>
        <v>220</v>
      </c>
      <c r="EIY16" s="68">
        <f t="shared" si="1025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6"/>
        <v>320</v>
      </c>
      <c r="EJG16" s="68">
        <f t="shared" si="1027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8"/>
        <v>220</v>
      </c>
      <c r="EJO16" s="68">
        <f t="shared" si="1029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30"/>
        <v>219</v>
      </c>
      <c r="EJW16" s="68">
        <f t="shared" si="1031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2"/>
        <v>199</v>
      </c>
      <c r="EKE16" s="68">
        <f t="shared" si="1033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4"/>
        <v>0</v>
      </c>
      <c r="EKM16" s="68">
        <f t="shared" si="1035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6"/>
        <v>199</v>
      </c>
      <c r="EKU16" s="184">
        <f t="shared" si="1037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8"/>
        <v>192</v>
      </c>
      <c r="ELD16" s="211">
        <f t="shared" si="1039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40"/>
        <v>647</v>
      </c>
      <c r="ELL16" s="211">
        <f t="shared" si="1041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2"/>
        <v>215</v>
      </c>
      <c r="ELT16" s="211">
        <f t="shared" si="1043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4"/>
        <v>330</v>
      </c>
      <c r="EMB16" s="211">
        <f t="shared" si="1045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6"/>
        <v>224</v>
      </c>
      <c r="EMJ16" s="211">
        <f t="shared" si="1047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8"/>
        <v>220</v>
      </c>
      <c r="EMR16" s="211">
        <f t="shared" si="1049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50"/>
        <v>230</v>
      </c>
      <c r="EMZ16" s="211">
        <f t="shared" si="1051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2"/>
        <v>282</v>
      </c>
      <c r="ENH16" s="211">
        <f t="shared" si="1053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4"/>
        <v>0</v>
      </c>
      <c r="ENP16" s="211">
        <f t="shared" si="1055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6"/>
        <v>352</v>
      </c>
      <c r="ENX16" s="211">
        <f t="shared" si="1057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8"/>
        <v>329</v>
      </c>
      <c r="EOF16" s="211">
        <f t="shared" si="1059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60"/>
        <v>0</v>
      </c>
      <c r="EON16" s="211">
        <f t="shared" si="1061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2"/>
        <v>281</v>
      </c>
      <c r="EOV16" s="211">
        <f t="shared" si="1063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4"/>
        <v>659</v>
      </c>
      <c r="EPD16" s="211">
        <f t="shared" si="1065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6"/>
        <v>422</v>
      </c>
      <c r="EPL16" s="211">
        <f t="shared" si="1067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8"/>
        <v>218</v>
      </c>
      <c r="EPT16" s="211">
        <f t="shared" si="1069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70"/>
        <v>455</v>
      </c>
      <c r="EQB16" s="211">
        <f t="shared" si="1071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2"/>
        <v>229</v>
      </c>
      <c r="EQJ16" s="211">
        <f t="shared" si="1073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4"/>
        <v>223</v>
      </c>
      <c r="EQR16" s="211">
        <f t="shared" si="1075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6"/>
        <v>342</v>
      </c>
      <c r="EQZ16" s="211">
        <f t="shared" si="1077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8"/>
        <v>452</v>
      </c>
      <c r="ERH16" s="211">
        <f t="shared" si="1079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80"/>
        <v>0</v>
      </c>
      <c r="ERP16" s="211">
        <f t="shared" si="1081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2"/>
        <v>398</v>
      </c>
      <c r="ERX16" s="211">
        <f t="shared" si="1083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4"/>
        <v>0</v>
      </c>
      <c r="ESF16" s="211">
        <f t="shared" si="1085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6"/>
        <v>441</v>
      </c>
      <c r="ESN16" s="211">
        <f t="shared" si="1087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8"/>
        <v>0</v>
      </c>
      <c r="ESV16" s="211">
        <f t="shared" si="1089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90"/>
        <v>0</v>
      </c>
      <c r="ETD16" s="211">
        <f t="shared" si="1091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2"/>
        <v>219</v>
      </c>
      <c r="ETL16" s="211">
        <f t="shared" si="1093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4"/>
        <v>219</v>
      </c>
      <c r="ETT16" s="211">
        <f t="shared" si="1095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6"/>
        <v>0</v>
      </c>
      <c r="EUB16" s="211">
        <f t="shared" si="1097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8"/>
        <v>203</v>
      </c>
      <c r="EUJ16" s="211">
        <f t="shared" si="1099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100"/>
        <v>0</v>
      </c>
      <c r="EUR16" s="211">
        <f t="shared" si="1101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2"/>
        <v>0</v>
      </c>
      <c r="EUZ16" s="211">
        <f t="shared" si="1103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4"/>
        <v>0</v>
      </c>
      <c r="EVH16" s="211">
        <f t="shared" si="1105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6"/>
        <v>220</v>
      </c>
      <c r="EVP16" s="211">
        <f t="shared" si="1107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8"/>
        <v>107</v>
      </c>
      <c r="EVX16" s="211">
        <f t="shared" si="1109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10"/>
        <v>0</v>
      </c>
      <c r="EWF16" s="211">
        <f t="shared" si="1111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2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3"/>
        <v>0</v>
      </c>
      <c r="EWV16" s="211">
        <f t="shared" si="1114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5"/>
        <v>0</v>
      </c>
      <c r="EXD16" s="211">
        <f t="shared" si="1116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7"/>
        <v>211</v>
      </c>
      <c r="EXL16" s="211">
        <f t="shared" si="1118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9"/>
        <v>0</v>
      </c>
      <c r="EXT16" s="211">
        <f t="shared" si="1120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21"/>
        <v>215</v>
      </c>
      <c r="EYB16" s="211">
        <f t="shared" si="1122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3"/>
        <v>110</v>
      </c>
      <c r="EYJ16" s="211">
        <f t="shared" si="1124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5"/>
        <v>0</v>
      </c>
      <c r="EYR16" s="211">
        <f t="shared" si="1126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7"/>
        <v>109</v>
      </c>
      <c r="EYZ16" s="873">
        <f t="shared" si="1128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9"/>
        <v>0</v>
      </c>
      <c r="EZH16" s="873">
        <f t="shared" si="1130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31"/>
        <v>0</v>
      </c>
      <c r="EZP16" s="873">
        <f t="shared" si="1132"/>
        <v>0</v>
      </c>
      <c r="EZQ16" s="458">
        <v>0</v>
      </c>
      <c r="EZR16" s="83"/>
      <c r="EZS16" s="83">
        <v>0</v>
      </c>
      <c r="EZT16" s="83"/>
      <c r="EZU16" s="83"/>
      <c r="EZV16" s="83">
        <v>0</v>
      </c>
      <c r="EZW16" s="872">
        <f t="shared" si="1133"/>
        <v>0</v>
      </c>
      <c r="EZX16" s="873">
        <f t="shared" si="1134"/>
        <v>0</v>
      </c>
      <c r="EZY16" s="195">
        <v>0</v>
      </c>
      <c r="EZZ16" s="49">
        <v>0</v>
      </c>
      <c r="FAA16" s="49"/>
      <c r="FAB16" s="49"/>
      <c r="FAC16" s="49"/>
      <c r="FAD16" s="49"/>
      <c r="FAE16" s="872">
        <f t="shared" si="1135"/>
        <v>0</v>
      </c>
      <c r="FAF16" s="873">
        <f t="shared" si="1136"/>
        <v>0</v>
      </c>
    </row>
    <row r="17" spans="1:4088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1913</v>
      </c>
      <c r="G17" s="24"/>
      <c r="H17" s="24"/>
      <c r="I17" s="360"/>
      <c r="J17" s="360">
        <f>SUMIF(SUMPK!$B:$B,$B:$B,SUMPK!$O:$O)</f>
        <v>442</v>
      </c>
      <c r="K17" s="15">
        <f t="shared" si="1210"/>
        <v>0</v>
      </c>
      <c r="L17" s="24">
        <f t="shared" si="189"/>
        <v>1471</v>
      </c>
      <c r="M17" s="24">
        <f t="shared" si="190"/>
        <v>1471</v>
      </c>
      <c r="N17" s="15">
        <v>0</v>
      </c>
      <c r="O17" s="276">
        <f t="shared" si="191"/>
        <v>0</v>
      </c>
      <c r="P17" s="712">
        <v>269.66666666666669</v>
      </c>
      <c r="Q17" s="276">
        <f t="shared" si="192"/>
        <v>32.72929542645241</v>
      </c>
      <c r="R17" s="277">
        <f t="shared" si="193"/>
        <v>76.92307692307692</v>
      </c>
      <c r="S17" s="222">
        <v>2000</v>
      </c>
      <c r="T17" s="276">
        <f t="shared" si="194"/>
        <v>19.123000000000001</v>
      </c>
      <c r="U17" s="303"/>
      <c r="V17" s="302">
        <f t="shared" si="1211"/>
        <v>19.123000000000001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43"/>
        <v>3093</v>
      </c>
      <c r="AK17" s="43">
        <f t="shared" si="1144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45"/>
        <v>1585</v>
      </c>
      <c r="AS17" s="43">
        <f t="shared" si="1146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7"/>
        <v>1413</v>
      </c>
      <c r="BA17" s="43">
        <f t="shared" si="1148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9"/>
        <v>1407</v>
      </c>
      <c r="BI17" s="43">
        <f t="shared" si="1150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51"/>
        <v>5349</v>
      </c>
      <c r="BQ17" s="43">
        <f t="shared" si="1152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53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54"/>
        <v>2328</v>
      </c>
      <c r="CG17" s="43">
        <f t="shared" si="1155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6"/>
        <v>2000</v>
      </c>
      <c r="CO17" s="43">
        <f t="shared" si="1157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8"/>
        <v>2616</v>
      </c>
      <c r="CW17" s="43">
        <f t="shared" si="1159"/>
        <v>436</v>
      </c>
      <c r="CX17" s="48">
        <v>600</v>
      </c>
      <c r="CY17" s="49"/>
      <c r="CZ17" s="49"/>
      <c r="DA17" s="49"/>
      <c r="DB17" s="49"/>
      <c r="DC17" s="49"/>
      <c r="DD17" s="42">
        <f t="shared" si="1160"/>
        <v>600</v>
      </c>
      <c r="DE17" s="43">
        <f t="shared" si="1161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62"/>
        <v>1200</v>
      </c>
      <c r="DM17" s="43">
        <f t="shared" si="1163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64"/>
        <v>3105</v>
      </c>
      <c r="DU17" s="43">
        <f t="shared" si="1165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6"/>
        <v>1568</v>
      </c>
      <c r="EC17" s="43">
        <f t="shared" si="1167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8"/>
        <v>2331</v>
      </c>
      <c r="EK17" s="43">
        <f t="shared" si="1169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70"/>
        <v>2660</v>
      </c>
      <c r="ES17" s="43">
        <f t="shared" si="1171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72"/>
        <v>3752</v>
      </c>
      <c r="FA17" s="43">
        <f t="shared" si="1173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74"/>
        <v>1602</v>
      </c>
      <c r="FI17" s="43">
        <f t="shared" si="1175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6"/>
        <v>2369</v>
      </c>
      <c r="FQ17" s="43">
        <f t="shared" si="1177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8"/>
        <v>1246</v>
      </c>
      <c r="FY17" s="43">
        <f t="shared" si="1179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80"/>
        <v>1971</v>
      </c>
      <c r="GG17" s="43">
        <f t="shared" si="1181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82"/>
        <v>2804</v>
      </c>
      <c r="GO17" s="43">
        <f t="shared" si="1183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84"/>
        <v>2003</v>
      </c>
      <c r="GW17" s="43">
        <f t="shared" si="1185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6"/>
        <v>3294</v>
      </c>
      <c r="HE17" s="43">
        <f t="shared" si="1187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8"/>
        <v>596</v>
      </c>
      <c r="HM17" s="43">
        <f t="shared" si="1189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90"/>
        <v>2204</v>
      </c>
      <c r="HU17" s="43">
        <f t="shared" si="1191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92"/>
        <v>1398</v>
      </c>
      <c r="IC17" s="43">
        <f t="shared" si="1193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94"/>
        <v>2083</v>
      </c>
      <c r="IK17" s="43">
        <f t="shared" si="1195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6"/>
        <v>621</v>
      </c>
      <c r="IS17" s="68">
        <f t="shared" si="1197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8"/>
        <v>1267</v>
      </c>
      <c r="JA17" s="68">
        <f t="shared" si="1199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200"/>
        <v>921</v>
      </c>
      <c r="JI17" s="68">
        <f t="shared" si="1201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202"/>
        <v>1001</v>
      </c>
      <c r="JQ17" s="43">
        <f t="shared" si="1203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204"/>
        <v>1803</v>
      </c>
      <c r="JY17" s="43">
        <f t="shared" si="1205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6"/>
        <v>1378</v>
      </c>
      <c r="KG17" s="43">
        <f t="shared" si="197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8"/>
        <v>811</v>
      </c>
      <c r="KO17" s="68">
        <f t="shared" si="199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200"/>
        <v>2169</v>
      </c>
      <c r="KW17" s="68">
        <f t="shared" si="201"/>
        <v>361.5</v>
      </c>
      <c r="KX17" s="48"/>
      <c r="KY17" s="49"/>
      <c r="KZ17" s="49"/>
      <c r="LA17" s="49"/>
      <c r="LB17" s="49"/>
      <c r="LC17" s="49"/>
      <c r="LD17" s="67">
        <f t="shared" si="202"/>
        <v>0</v>
      </c>
      <c r="LE17" s="68">
        <f t="shared" si="203"/>
        <v>0</v>
      </c>
      <c r="LF17" s="48"/>
      <c r="LG17" s="49"/>
      <c r="LH17" s="49">
        <v>1008</v>
      </c>
      <c r="LI17" s="49"/>
      <c r="LJ17" s="49"/>
      <c r="LK17" s="49"/>
      <c r="LL17" s="67">
        <f t="shared" si="204"/>
        <v>1008</v>
      </c>
      <c r="LM17" s="68">
        <f t="shared" si="205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6"/>
        <v>2671</v>
      </c>
      <c r="LU17" s="68">
        <f t="shared" si="207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8"/>
        <v>1562</v>
      </c>
      <c r="MC17" s="68">
        <f t="shared" si="209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10"/>
        <v>1157</v>
      </c>
      <c r="MK17" s="68">
        <f t="shared" si="211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2"/>
        <v>1794</v>
      </c>
      <c r="MS17" s="68">
        <f t="shared" si="213"/>
        <v>299</v>
      </c>
      <c r="MT17" s="48"/>
      <c r="MU17" s="49"/>
      <c r="MV17" s="49">
        <v>783</v>
      </c>
      <c r="MW17" s="49"/>
      <c r="MX17" s="49"/>
      <c r="MY17" s="49"/>
      <c r="MZ17" s="67">
        <f t="shared" si="214"/>
        <v>783</v>
      </c>
      <c r="NA17" s="68">
        <f t="shared" si="215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6"/>
        <v>2171</v>
      </c>
      <c r="NI17" s="68">
        <f t="shared" si="217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8"/>
        <v>1953</v>
      </c>
      <c r="NQ17" s="68">
        <f t="shared" si="219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20"/>
        <v>418</v>
      </c>
      <c r="NY17" s="68">
        <f t="shared" si="221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2"/>
        <v>1619</v>
      </c>
      <c r="OG17" s="68">
        <f t="shared" si="223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4"/>
        <v>2003</v>
      </c>
      <c r="OO17" s="68">
        <f t="shared" si="225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6"/>
        <v>980</v>
      </c>
      <c r="OW17" s="68">
        <f t="shared" si="227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8"/>
        <v>401</v>
      </c>
      <c r="PE17" s="68">
        <f t="shared" si="229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30"/>
        <v>1942</v>
      </c>
      <c r="PM17" s="68">
        <f t="shared" si="231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2"/>
        <v>1957</v>
      </c>
      <c r="PU17" s="105">
        <f t="shared" si="233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4"/>
        <v>400</v>
      </c>
      <c r="QC17" s="105">
        <f t="shared" si="235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6"/>
        <v>1213</v>
      </c>
      <c r="QK17" s="105">
        <f t="shared" si="237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8"/>
        <v>1299</v>
      </c>
      <c r="QS17" s="105">
        <f t="shared" si="239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40"/>
        <v>893</v>
      </c>
      <c r="RA17" s="105">
        <f t="shared" si="241"/>
        <v>148.83333333333334</v>
      </c>
      <c r="RB17" s="106"/>
      <c r="RC17" s="107"/>
      <c r="RD17" s="107"/>
      <c r="RE17" s="107"/>
      <c r="RF17" s="107"/>
      <c r="RG17" s="107"/>
      <c r="RH17" s="104">
        <f t="shared" si="242"/>
        <v>0</v>
      </c>
      <c r="RI17" s="105">
        <f t="shared" si="243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4"/>
        <v>2022</v>
      </c>
      <c r="RQ17" s="105">
        <f t="shared" si="245"/>
        <v>337</v>
      </c>
      <c r="RR17" s="106"/>
      <c r="RS17" s="107"/>
      <c r="RT17" s="107"/>
      <c r="RU17" s="107"/>
      <c r="RV17" s="107"/>
      <c r="RW17" s="107"/>
      <c r="RX17" s="104">
        <f t="shared" si="246"/>
        <v>0</v>
      </c>
      <c r="RY17" s="105">
        <f t="shared" si="247"/>
        <v>0</v>
      </c>
      <c r="RZ17" s="106"/>
      <c r="SA17" s="107"/>
      <c r="SB17" s="107"/>
      <c r="SC17" s="107"/>
      <c r="SD17" s="107"/>
      <c r="SE17" s="107"/>
      <c r="SF17" s="104">
        <f t="shared" si="248"/>
        <v>0</v>
      </c>
      <c r="SG17" s="105">
        <f t="shared" si="249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50"/>
        <v>2232</v>
      </c>
      <c r="SO17" s="105">
        <f t="shared" si="251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2"/>
        <v>185</v>
      </c>
      <c r="SW17" s="105">
        <f t="shared" si="253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4"/>
        <v>1927</v>
      </c>
      <c r="TE17" s="105">
        <f t="shared" si="255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6"/>
        <v>199</v>
      </c>
      <c r="TM17" s="105">
        <f t="shared" si="257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8"/>
        <v>965</v>
      </c>
      <c r="TU17" s="105">
        <f t="shared" si="259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60"/>
        <v>2129</v>
      </c>
      <c r="UC17" s="105">
        <f t="shared" si="261"/>
        <v>354.83333333333331</v>
      </c>
      <c r="UD17" s="106"/>
      <c r="UE17" s="107"/>
      <c r="UF17" s="107"/>
      <c r="UG17" s="107"/>
      <c r="UH17" s="107"/>
      <c r="UI17" s="107"/>
      <c r="UJ17" s="104">
        <f t="shared" si="262"/>
        <v>0</v>
      </c>
      <c r="UK17" s="105">
        <f t="shared" si="263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4"/>
        <v>600</v>
      </c>
      <c r="UT17" s="105">
        <f t="shared" si="265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6"/>
        <v>798</v>
      </c>
      <c r="VB17" s="105">
        <f t="shared" si="267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8"/>
        <v>600</v>
      </c>
      <c r="VJ17" s="105">
        <f t="shared" si="269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70"/>
        <v>627</v>
      </c>
      <c r="VR17" s="105">
        <f t="shared" si="271"/>
        <v>104.5</v>
      </c>
      <c r="VS17" s="106"/>
      <c r="VT17" s="107"/>
      <c r="VU17" s="107"/>
      <c r="VV17" s="107"/>
      <c r="VW17" s="107"/>
      <c r="VX17" s="107"/>
      <c r="VY17" s="104">
        <f t="shared" si="272"/>
        <v>0</v>
      </c>
      <c r="VZ17" s="105">
        <f t="shared" si="273"/>
        <v>0</v>
      </c>
      <c r="WA17" s="63"/>
      <c r="WB17" s="64"/>
      <c r="WC17" s="64"/>
      <c r="WD17" s="64"/>
      <c r="WE17" s="64"/>
      <c r="WF17" s="64"/>
      <c r="WG17" s="67">
        <f t="shared" si="274"/>
        <v>0</v>
      </c>
      <c r="WH17" s="68">
        <f t="shared" si="275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6"/>
        <v>1168</v>
      </c>
      <c r="WP17" s="68">
        <f t="shared" si="277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8"/>
        <v>594</v>
      </c>
      <c r="WY17" s="68">
        <f t="shared" si="279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80"/>
        <v>2663</v>
      </c>
      <c r="XH17" s="68">
        <f t="shared" si="281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2"/>
        <v>984</v>
      </c>
      <c r="XQ17" s="105">
        <f t="shared" si="283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4"/>
        <v>862</v>
      </c>
      <c r="XZ17" s="68">
        <f t="shared" si="285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6"/>
        <v>1709</v>
      </c>
      <c r="YI17" s="68">
        <f t="shared" si="287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8"/>
        <v>869</v>
      </c>
      <c r="YR17" s="68">
        <f t="shared" si="289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90"/>
        <v>932</v>
      </c>
      <c r="YZ17" s="68">
        <f t="shared" si="291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2"/>
        <v>985</v>
      </c>
      <c r="ZH17" s="68">
        <f t="shared" si="293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4"/>
        <v>1010</v>
      </c>
      <c r="ZP17" s="68">
        <f t="shared" si="295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6"/>
        <v>1240</v>
      </c>
      <c r="ZY17" s="68">
        <f t="shared" si="297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8"/>
        <v>0</v>
      </c>
      <c r="AAH17" s="68">
        <f t="shared" si="299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300"/>
        <v>804</v>
      </c>
      <c r="AAP17" s="68">
        <f t="shared" si="301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2"/>
        <v>1700</v>
      </c>
      <c r="AAX17" s="68">
        <f t="shared" si="303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4"/>
        <v>745</v>
      </c>
      <c r="ABF17" s="68">
        <f t="shared" si="305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6"/>
        <v>798</v>
      </c>
      <c r="ABN17" s="68">
        <f t="shared" si="307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8"/>
        <v>900</v>
      </c>
      <c r="ABV17" s="68">
        <f t="shared" si="309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10"/>
        <v>400</v>
      </c>
      <c r="ACD17" s="68">
        <f t="shared" si="311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2"/>
        <v>1916</v>
      </c>
      <c r="ACL17" s="68">
        <f t="shared" si="313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4"/>
        <v>941</v>
      </c>
      <c r="ACT17" s="68">
        <f t="shared" si="315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6"/>
        <v>972</v>
      </c>
      <c r="ADB17" s="68">
        <f t="shared" si="317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8"/>
        <v>800</v>
      </c>
      <c r="ADJ17" s="68">
        <f t="shared" si="319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20"/>
        <v>1133</v>
      </c>
      <c r="ADR17" s="68">
        <f t="shared" si="321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2"/>
        <v>959</v>
      </c>
      <c r="ADZ17" s="68">
        <f t="shared" si="323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4"/>
        <v>1397</v>
      </c>
      <c r="AEH17" s="68">
        <f t="shared" si="325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6"/>
        <v>1191</v>
      </c>
      <c r="AEP17" s="68">
        <f t="shared" si="327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8"/>
        <v>1340</v>
      </c>
      <c r="AEX17" s="68">
        <f t="shared" si="329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30"/>
        <v>727</v>
      </c>
      <c r="AFF17" s="68">
        <f t="shared" si="331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2"/>
        <v>1330</v>
      </c>
      <c r="AFN17" s="68">
        <f t="shared" si="333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4"/>
        <v>965</v>
      </c>
      <c r="AFV17" s="68">
        <f t="shared" si="335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6"/>
        <v>1309</v>
      </c>
      <c r="AGD17" s="68">
        <f t="shared" si="337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8"/>
        <v>1450</v>
      </c>
      <c r="AGL17" s="68">
        <f t="shared" si="339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40"/>
        <v>417</v>
      </c>
      <c r="AGU17" s="68">
        <f t="shared" si="341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2"/>
        <v>1919</v>
      </c>
      <c r="AHC17" s="68">
        <f t="shared" si="343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4"/>
        <v>99</v>
      </c>
      <c r="AHK17" s="68">
        <f t="shared" si="345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6"/>
        <v>219</v>
      </c>
      <c r="AHS17" s="68">
        <f t="shared" si="347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8"/>
        <v>1312</v>
      </c>
      <c r="AIA17" s="68">
        <f t="shared" si="349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50"/>
        <v>1339</v>
      </c>
      <c r="AII17" s="68">
        <f t="shared" si="351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2"/>
        <v>860</v>
      </c>
      <c r="AIQ17" s="68">
        <f t="shared" si="353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4"/>
        <v>862</v>
      </c>
      <c r="AIY17" s="68">
        <f t="shared" si="355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6"/>
        <v>834</v>
      </c>
      <c r="AJG17" s="68">
        <f t="shared" si="357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8"/>
        <v>867</v>
      </c>
      <c r="AJO17" s="43">
        <f t="shared" si="359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60"/>
        <v>1506</v>
      </c>
      <c r="AJW17" s="43">
        <f t="shared" si="361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2"/>
        <v>797</v>
      </c>
      <c r="AKE17" s="68">
        <f t="shared" si="363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4"/>
        <v>927</v>
      </c>
      <c r="AKM17" s="184">
        <f t="shared" si="365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6"/>
        <v>2024</v>
      </c>
      <c r="AKU17" s="184">
        <f t="shared" si="367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8"/>
        <v>553</v>
      </c>
      <c r="ALC17" s="68">
        <f t="shared" si="369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70"/>
        <v>2146</v>
      </c>
      <c r="ALK17" s="68">
        <f t="shared" si="371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2"/>
        <v>803</v>
      </c>
      <c r="ALS17" s="68">
        <f t="shared" si="373"/>
        <v>133.83333333333334</v>
      </c>
      <c r="ALT17" s="48"/>
      <c r="ALU17" s="49"/>
      <c r="ALV17" s="49"/>
      <c r="ALW17" s="49"/>
      <c r="ALX17" s="49"/>
      <c r="ALY17" s="49"/>
      <c r="ALZ17" s="67">
        <f t="shared" si="374"/>
        <v>0</v>
      </c>
      <c r="AMA17" s="68">
        <f t="shared" si="375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6"/>
        <v>1303</v>
      </c>
      <c r="AMI17" s="68">
        <f t="shared" si="377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8"/>
        <v>1091</v>
      </c>
      <c r="AMQ17" s="68">
        <f t="shared" si="379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80"/>
        <v>857</v>
      </c>
      <c r="AMY17" s="68">
        <f t="shared" si="381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2"/>
        <v>1323</v>
      </c>
      <c r="ANG17" s="68">
        <f t="shared" si="383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4"/>
        <v>1677</v>
      </c>
      <c r="ANO17" s="68">
        <f t="shared" si="385"/>
        <v>279.5</v>
      </c>
      <c r="ANP17" s="48"/>
      <c r="ANQ17" s="49"/>
      <c r="ANR17" s="49"/>
      <c r="ANS17" s="49"/>
      <c r="ANT17" s="49"/>
      <c r="ANU17" s="49"/>
      <c r="ANV17" s="67">
        <f t="shared" si="386"/>
        <v>0</v>
      </c>
      <c r="ANW17" s="68">
        <f t="shared" si="387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8"/>
        <v>1899</v>
      </c>
      <c r="AOE17" s="68">
        <f t="shared" si="389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90"/>
        <v>447</v>
      </c>
      <c r="AOM17" s="68">
        <f t="shared" si="391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2"/>
        <v>839</v>
      </c>
      <c r="AOU17" s="68">
        <f t="shared" si="393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4"/>
        <v>1581</v>
      </c>
      <c r="APC17" s="68">
        <f t="shared" si="395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6"/>
        <v>810</v>
      </c>
      <c r="APK17" s="68">
        <f t="shared" si="397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8"/>
        <v>1161</v>
      </c>
      <c r="APS17" s="68">
        <f t="shared" si="399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400"/>
        <v>1061</v>
      </c>
      <c r="AQA17" s="68">
        <f t="shared" si="401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2"/>
        <v>1282</v>
      </c>
      <c r="AQI17" s="68">
        <f t="shared" si="403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4"/>
        <v>865</v>
      </c>
      <c r="AQQ17" s="68">
        <f t="shared" si="405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6"/>
        <v>220</v>
      </c>
      <c r="AQY17" s="68">
        <f t="shared" si="407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8"/>
        <v>336</v>
      </c>
      <c r="ARG17" s="68">
        <f t="shared" si="409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10"/>
        <v>1031</v>
      </c>
      <c r="ARO17" s="68">
        <f t="shared" si="411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2"/>
        <v>897</v>
      </c>
      <c r="ARW17" s="68">
        <f t="shared" si="413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4"/>
        <v>827</v>
      </c>
      <c r="ASE17" s="68">
        <f t="shared" si="415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6"/>
        <v>1025</v>
      </c>
      <c r="ASM17" s="68">
        <f t="shared" si="417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8"/>
        <v>900</v>
      </c>
      <c r="ASU17" s="68">
        <f t="shared" si="419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20"/>
        <v>874</v>
      </c>
      <c r="ATC17" s="68">
        <f t="shared" si="421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2"/>
        <v>440</v>
      </c>
      <c r="ATK17" s="68">
        <f t="shared" si="423"/>
        <v>73.333333333333329</v>
      </c>
      <c r="ATL17" s="48"/>
      <c r="ATM17" s="49"/>
      <c r="ATN17" s="49"/>
      <c r="ATO17" s="49"/>
      <c r="ATP17" s="49"/>
      <c r="ATQ17" s="49"/>
      <c r="ATR17" s="67">
        <f t="shared" si="424"/>
        <v>0</v>
      </c>
      <c r="ATS17" s="68">
        <f t="shared" si="425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6"/>
        <v>1334</v>
      </c>
      <c r="AUA17" s="68">
        <f t="shared" si="427"/>
        <v>222.33333333333334</v>
      </c>
      <c r="AUB17" s="48"/>
      <c r="AUC17" s="49"/>
      <c r="AUD17" s="49"/>
      <c r="AUE17" s="49"/>
      <c r="AUF17" s="49"/>
      <c r="AUG17" s="49"/>
      <c r="AUH17" s="67">
        <f t="shared" si="428"/>
        <v>0</v>
      </c>
      <c r="AUI17" s="68">
        <f t="shared" si="429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30"/>
        <v>551</v>
      </c>
      <c r="AUQ17" s="68">
        <f t="shared" si="431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2"/>
        <v>833</v>
      </c>
      <c r="AUY17" s="68">
        <f t="shared" si="433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4"/>
        <v>877</v>
      </c>
      <c r="AVG17" s="68">
        <f t="shared" si="435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6"/>
        <v>524</v>
      </c>
      <c r="AVO17" s="68">
        <f t="shared" si="437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8"/>
        <v>223</v>
      </c>
      <c r="AVW17" s="68">
        <f t="shared" si="439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40"/>
        <v>890</v>
      </c>
      <c r="AWE17" s="68">
        <f t="shared" si="441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2"/>
        <v>725</v>
      </c>
      <c r="AWM17" s="68">
        <f t="shared" si="443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4"/>
        <v>898</v>
      </c>
      <c r="AWU17" s="43">
        <f t="shared" si="445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6"/>
        <v>428</v>
      </c>
      <c r="AXC17" s="43">
        <f t="shared" si="447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8"/>
        <v>1042</v>
      </c>
      <c r="AXK17" s="43">
        <f t="shared" si="449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50"/>
        <v>548</v>
      </c>
      <c r="AXS17" s="43">
        <f t="shared" si="451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2"/>
        <v>485</v>
      </c>
      <c r="AYA17" s="43">
        <f t="shared" si="453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4"/>
        <v>854</v>
      </c>
      <c r="AYI17" s="43">
        <f t="shared" si="455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6"/>
        <v>887</v>
      </c>
      <c r="AYQ17" s="43">
        <f t="shared" si="457"/>
        <v>147.83333333333334</v>
      </c>
      <c r="AYR17" s="48"/>
      <c r="AYS17" s="49"/>
      <c r="AYT17" s="49"/>
      <c r="AYU17" s="49"/>
      <c r="AYV17" s="49"/>
      <c r="AYW17" s="49"/>
      <c r="AYX17" s="42">
        <f t="shared" si="458"/>
        <v>0</v>
      </c>
      <c r="AYY17" s="43">
        <f t="shared" si="459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60"/>
        <v>904</v>
      </c>
      <c r="AZG17" s="43">
        <f t="shared" si="461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2"/>
        <v>356</v>
      </c>
      <c r="AZO17" s="43">
        <f t="shared" si="463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4"/>
        <v>901</v>
      </c>
      <c r="AZW17" s="43">
        <f t="shared" si="465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6"/>
        <v>991</v>
      </c>
      <c r="BAE17" s="43">
        <f t="shared" si="467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8"/>
        <v>659</v>
      </c>
      <c r="BAM17" s="43">
        <f t="shared" si="469"/>
        <v>109.83333333333333</v>
      </c>
      <c r="BAN17" s="48"/>
      <c r="BAO17" s="49"/>
      <c r="BAP17" s="49"/>
      <c r="BAQ17" s="49"/>
      <c r="BAR17" s="49"/>
      <c r="BAS17" s="49"/>
      <c r="BAT17" s="42">
        <f t="shared" si="470"/>
        <v>0</v>
      </c>
      <c r="BAU17" s="43">
        <f t="shared" si="471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2"/>
        <v>1483</v>
      </c>
      <c r="BBC17" s="43">
        <f t="shared" si="473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4"/>
        <v>1100</v>
      </c>
      <c r="BBK17" s="43">
        <f t="shared" si="475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6"/>
        <v>219</v>
      </c>
      <c r="BBS17" s="43">
        <f t="shared" si="477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8"/>
        <v>843</v>
      </c>
      <c r="BCA17" s="43">
        <f t="shared" si="479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80"/>
        <v>550</v>
      </c>
      <c r="BCI17" s="43">
        <f t="shared" si="481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2"/>
        <v>899</v>
      </c>
      <c r="BCQ17" s="43">
        <f t="shared" si="483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4"/>
        <v>880</v>
      </c>
      <c r="BCY17" s="43">
        <f t="shared" si="485"/>
        <v>146.66666666666666</v>
      </c>
      <c r="BCZ17" s="48"/>
      <c r="BDA17" s="49"/>
      <c r="BDB17" s="49"/>
      <c r="BDC17" s="49"/>
      <c r="BDD17" s="49"/>
      <c r="BDE17" s="49"/>
      <c r="BDF17" s="42">
        <f t="shared" si="486"/>
        <v>0</v>
      </c>
      <c r="BDG17" s="43">
        <f t="shared" si="487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8"/>
        <v>449</v>
      </c>
      <c r="BDO17" s="43">
        <f t="shared" si="489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90"/>
        <v>705</v>
      </c>
      <c r="BDW17" s="43">
        <f t="shared" si="491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2"/>
        <v>114</v>
      </c>
      <c r="BEE17" s="43">
        <f t="shared" si="493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4"/>
        <v>532</v>
      </c>
      <c r="BEM17" s="43">
        <f t="shared" si="495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6"/>
        <v>211</v>
      </c>
      <c r="BEU17" s="43">
        <f t="shared" si="497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8"/>
        <v>765</v>
      </c>
      <c r="BFC17" s="43">
        <f t="shared" si="499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500"/>
        <v>910</v>
      </c>
      <c r="BFK17" s="43">
        <f t="shared" si="501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2"/>
        <v>993</v>
      </c>
      <c r="BFS17" s="43">
        <f t="shared" si="503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4"/>
        <v>439</v>
      </c>
      <c r="BGA17" s="43">
        <f t="shared" si="505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6"/>
        <v>1092</v>
      </c>
      <c r="BGI17" s="43">
        <f t="shared" si="507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8"/>
        <v>915</v>
      </c>
      <c r="BGQ17" s="43">
        <f t="shared" si="509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10"/>
        <v>303</v>
      </c>
      <c r="BGY17" s="43">
        <f t="shared" si="511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2"/>
        <v>1076</v>
      </c>
      <c r="BHG17" s="43">
        <f t="shared" si="513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4"/>
        <v>548</v>
      </c>
      <c r="BHO17" s="43">
        <f t="shared" si="515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6"/>
        <v>960</v>
      </c>
      <c r="BHW17" s="43">
        <f t="shared" si="517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8"/>
        <v>902</v>
      </c>
      <c r="BIE17" s="43">
        <f t="shared" si="519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20"/>
        <v>850</v>
      </c>
      <c r="BIM17" s="43">
        <f t="shared" si="521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2"/>
        <v>1182</v>
      </c>
      <c r="BIU17" s="43">
        <f t="shared" si="523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4"/>
        <v>439</v>
      </c>
      <c r="BJC17" s="43">
        <f t="shared" si="525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6"/>
        <v>1078</v>
      </c>
      <c r="BJK17" s="43">
        <f t="shared" si="527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8"/>
        <v>440</v>
      </c>
      <c r="BJS17" s="43">
        <f t="shared" si="529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30"/>
        <v>659</v>
      </c>
      <c r="BKA17" s="43">
        <f t="shared" si="531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2"/>
        <v>682</v>
      </c>
      <c r="BKI17" s="68">
        <f t="shared" si="533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4"/>
        <v>840</v>
      </c>
      <c r="BKQ17" s="43">
        <f t="shared" si="535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6"/>
        <v>871</v>
      </c>
      <c r="BKY17" s="43">
        <f t="shared" si="537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8"/>
        <v>696</v>
      </c>
      <c r="BLG17" s="43">
        <f t="shared" si="539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40"/>
        <v>1661</v>
      </c>
      <c r="BLO17" s="43">
        <f t="shared" si="541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2"/>
        <v>880</v>
      </c>
      <c r="BLW17" s="43">
        <f t="shared" si="543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4"/>
        <v>837</v>
      </c>
      <c r="BME17" s="43">
        <f t="shared" si="545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6"/>
        <v>659</v>
      </c>
      <c r="BMM17" s="43">
        <f t="shared" si="547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8"/>
        <v>1446</v>
      </c>
      <c r="BMU17" s="43">
        <f t="shared" si="549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50"/>
        <v>605</v>
      </c>
      <c r="BNC17" s="43">
        <f t="shared" si="551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2"/>
        <v>880</v>
      </c>
      <c r="BNK17" s="43">
        <f t="shared" si="553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4"/>
        <v>1003</v>
      </c>
      <c r="BNS17" s="43">
        <f t="shared" si="555"/>
        <v>167.16666666666666</v>
      </c>
      <c r="BNT17" s="48"/>
      <c r="BNU17" s="49"/>
      <c r="BNV17" s="49"/>
      <c r="BNW17" s="49"/>
      <c r="BNX17" s="49"/>
      <c r="BNY17" s="49"/>
      <c r="BNZ17" s="42">
        <f t="shared" si="556"/>
        <v>0</v>
      </c>
      <c r="BOA17" s="43">
        <f t="shared" si="557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8"/>
        <v>1208</v>
      </c>
      <c r="BOI17" s="43">
        <f t="shared" si="559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60"/>
        <v>881</v>
      </c>
      <c r="BOQ17" s="43">
        <f t="shared" si="561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2"/>
        <v>2047</v>
      </c>
      <c r="BOY17" s="43">
        <f t="shared" si="563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4"/>
        <v>1078</v>
      </c>
      <c r="BPG17" s="43">
        <f t="shared" si="565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6"/>
        <v>730</v>
      </c>
      <c r="BPO17" s="43">
        <f t="shared" si="567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8"/>
        <v>1399</v>
      </c>
      <c r="BPW17" s="43">
        <f t="shared" si="569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70"/>
        <v>1032</v>
      </c>
      <c r="BQE17" s="43">
        <f t="shared" si="571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2"/>
        <v>1625</v>
      </c>
      <c r="BQM17" s="43">
        <f t="shared" si="573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4"/>
        <v>1046</v>
      </c>
      <c r="BQU17" s="43">
        <f t="shared" si="575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6"/>
        <v>359</v>
      </c>
      <c r="BRC17" s="43">
        <f t="shared" si="577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8"/>
        <v>1003</v>
      </c>
      <c r="BRK17" s="43">
        <f t="shared" si="579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80"/>
        <v>2365</v>
      </c>
      <c r="BRS17" s="68">
        <f t="shared" si="581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2"/>
        <v>822</v>
      </c>
      <c r="BSA17" s="43">
        <f t="shared" si="583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4"/>
        <v>1222</v>
      </c>
      <c r="BSI17" s="43">
        <f t="shared" si="585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6"/>
        <v>403</v>
      </c>
      <c r="BSQ17" s="43">
        <f t="shared" si="587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8"/>
        <v>2485</v>
      </c>
      <c r="BSY17" s="43">
        <f t="shared" si="589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90"/>
        <v>1760</v>
      </c>
      <c r="BTG17" s="43">
        <f t="shared" si="591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2"/>
        <v>435</v>
      </c>
      <c r="BTO17" s="68">
        <f t="shared" si="593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4"/>
        <v>1099</v>
      </c>
      <c r="BTW17" s="43">
        <f t="shared" si="595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6"/>
        <v>900</v>
      </c>
      <c r="BUE17" s="68">
        <f t="shared" si="597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8"/>
        <v>1917</v>
      </c>
      <c r="BUM17" s="68">
        <f t="shared" si="599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600"/>
        <v>758</v>
      </c>
      <c r="BUU17" s="68">
        <f t="shared" si="601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2"/>
        <v>1173</v>
      </c>
      <c r="BVC17" s="68">
        <f t="shared" si="603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4"/>
        <v>685</v>
      </c>
      <c r="BVK17" s="68">
        <f t="shared" si="605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6"/>
        <v>1461</v>
      </c>
      <c r="BVS17" s="68">
        <f t="shared" si="607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8"/>
        <v>1517</v>
      </c>
      <c r="BWA17" s="68">
        <f t="shared" si="609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10"/>
        <v>1445</v>
      </c>
      <c r="BWI17" s="68">
        <f t="shared" si="611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2"/>
        <v>1210</v>
      </c>
      <c r="BWQ17" s="68">
        <f t="shared" si="613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4"/>
        <v>1512</v>
      </c>
      <c r="BWY17" s="68">
        <f t="shared" si="615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6"/>
        <v>219</v>
      </c>
      <c r="BXG17" s="68">
        <f t="shared" si="617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8"/>
        <v>1316</v>
      </c>
      <c r="BXO17" s="68">
        <f t="shared" si="619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20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21"/>
        <v>1103</v>
      </c>
      <c r="BYE17" s="68">
        <f t="shared" si="622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3"/>
        <v>1359</v>
      </c>
      <c r="BYM17" s="68">
        <f t="shared" si="624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5"/>
        <v>1389</v>
      </c>
      <c r="BYU17" s="68">
        <f t="shared" si="626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7"/>
        <v>2508</v>
      </c>
      <c r="BZC17" s="68">
        <f t="shared" si="628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9"/>
        <v>889</v>
      </c>
      <c r="BZK17" s="68">
        <f t="shared" si="630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31"/>
        <v>896</v>
      </c>
      <c r="BZS17" s="68">
        <f t="shared" si="632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3"/>
        <v>419</v>
      </c>
      <c r="CAA17" s="68">
        <f t="shared" si="634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5"/>
        <v>1675</v>
      </c>
      <c r="CAI17" s="68">
        <f t="shared" si="636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7"/>
        <v>856</v>
      </c>
      <c r="CAQ17" s="68">
        <f t="shared" si="638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9"/>
        <v>3416</v>
      </c>
      <c r="CAY17" s="68">
        <f t="shared" si="640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41"/>
        <v>882</v>
      </c>
      <c r="CBG17" s="68">
        <f t="shared" si="642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3"/>
        <v>661</v>
      </c>
      <c r="CBO17" s="68">
        <f t="shared" si="644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5"/>
        <v>1870</v>
      </c>
      <c r="CBW17" s="68">
        <f t="shared" si="646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7"/>
        <v>1135</v>
      </c>
      <c r="CCE17" s="68">
        <f t="shared" si="648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9"/>
        <v>1212</v>
      </c>
      <c r="CCM17" s="68">
        <f t="shared" si="650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51"/>
        <v>779</v>
      </c>
      <c r="CCU17" s="68">
        <f t="shared" si="652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3"/>
        <v>685</v>
      </c>
      <c r="CDC17" s="68">
        <f t="shared" si="654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5"/>
        <v>1096</v>
      </c>
      <c r="CDK17" s="68">
        <f t="shared" si="656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7"/>
        <v>1118</v>
      </c>
      <c r="CDS17" s="68">
        <f t="shared" si="658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9"/>
        <v>982</v>
      </c>
      <c r="CEA17" s="68">
        <f t="shared" si="660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61"/>
        <v>1194</v>
      </c>
      <c r="CEI17" s="68">
        <f t="shared" si="662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3"/>
        <v>1795</v>
      </c>
      <c r="CEQ17" s="68">
        <f t="shared" si="664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5"/>
        <v>888</v>
      </c>
      <c r="CEY17" s="68">
        <f t="shared" si="666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7"/>
        <v>1618</v>
      </c>
      <c r="CFG17" s="68">
        <f t="shared" si="668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9"/>
        <v>857</v>
      </c>
      <c r="CFO17" s="68">
        <f t="shared" si="670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71"/>
        <v>1840</v>
      </c>
      <c r="CFW17" s="68">
        <f t="shared" si="672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3"/>
        <v>2405</v>
      </c>
      <c r="CGE17" s="68">
        <f t="shared" si="674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5"/>
        <v>460</v>
      </c>
      <c r="CGM17" s="68">
        <f t="shared" si="676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7"/>
        <v>837</v>
      </c>
      <c r="CGU17" s="68">
        <f t="shared" si="678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9"/>
        <v>1927</v>
      </c>
      <c r="CHC17" s="68">
        <f t="shared" si="680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81"/>
        <v>1320</v>
      </c>
      <c r="CHK17" s="68">
        <f t="shared" si="682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3"/>
        <v>838</v>
      </c>
      <c r="CHS17" s="68">
        <f t="shared" si="684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5"/>
        <v>1787</v>
      </c>
      <c r="CIA17" s="68">
        <f t="shared" si="686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7"/>
        <v>1093</v>
      </c>
      <c r="CII17" s="68">
        <f t="shared" si="688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9"/>
        <v>2331</v>
      </c>
      <c r="CIQ17" s="68">
        <f t="shared" si="690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91"/>
        <v>1207</v>
      </c>
      <c r="CIY17" s="68">
        <f t="shared" si="692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3"/>
        <v>1994</v>
      </c>
      <c r="CJG17" s="68">
        <f t="shared" si="1206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4"/>
        <v>1033</v>
      </c>
      <c r="CJO17" s="68">
        <f t="shared" si="695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6"/>
        <v>1093</v>
      </c>
      <c r="CJW17" s="68">
        <f t="shared" si="697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8"/>
        <v>890</v>
      </c>
      <c r="CKE17" s="68">
        <f t="shared" si="699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700"/>
        <v>2331</v>
      </c>
      <c r="CKM17" s="68">
        <f t="shared" si="701"/>
        <v>388.5</v>
      </c>
      <c r="CKN17" s="48"/>
      <c r="CKO17" s="49"/>
      <c r="CKP17" s="49"/>
      <c r="CKQ17" s="49"/>
      <c r="CKR17" s="49"/>
      <c r="CKS17" s="47"/>
      <c r="CKT17" s="67">
        <f t="shared" si="702"/>
        <v>0</v>
      </c>
      <c r="CKU17" s="68">
        <f t="shared" si="703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4"/>
        <v>1002</v>
      </c>
      <c r="CLC17" s="68">
        <f t="shared" si="705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6"/>
        <v>1119</v>
      </c>
      <c r="CLK17" s="68">
        <f t="shared" si="707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8"/>
        <v>1964</v>
      </c>
      <c r="CLS17" s="68">
        <f t="shared" si="709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10"/>
        <v>516</v>
      </c>
      <c r="CMA17" s="68">
        <f t="shared" si="711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2"/>
        <v>1317</v>
      </c>
      <c r="CMI17" s="68">
        <f t="shared" si="713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4"/>
        <v>914</v>
      </c>
      <c r="CMQ17" s="68">
        <f t="shared" si="715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6"/>
        <v>892</v>
      </c>
      <c r="CMY17" s="68">
        <f t="shared" si="717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8"/>
        <v>967</v>
      </c>
      <c r="CNG17" s="68">
        <f t="shared" si="719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20"/>
        <v>1315</v>
      </c>
      <c r="CNO17" s="68">
        <f t="shared" si="721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2"/>
        <v>1098</v>
      </c>
      <c r="CNW17" s="68">
        <f t="shared" si="723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4"/>
        <v>1210</v>
      </c>
      <c r="COE17" s="68">
        <f t="shared" si="725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6"/>
        <v>969</v>
      </c>
      <c r="COM17" s="68">
        <f t="shared" si="727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8"/>
        <v>895</v>
      </c>
      <c r="COU17" s="68">
        <f t="shared" si="729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30"/>
        <v>659</v>
      </c>
      <c r="CPC17" s="68">
        <f t="shared" si="731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2"/>
        <v>1110</v>
      </c>
      <c r="CPK17" s="68">
        <f t="shared" si="733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4"/>
        <v>0</v>
      </c>
      <c r="CPS17" s="68">
        <f t="shared" si="735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6"/>
        <v>439</v>
      </c>
      <c r="CQA17" s="68">
        <f t="shared" si="737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8"/>
        <v>923</v>
      </c>
      <c r="CQI17" s="68">
        <f t="shared" si="739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40"/>
        <v>438</v>
      </c>
      <c r="CQQ17" s="68">
        <f t="shared" si="741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2"/>
        <v>1474</v>
      </c>
      <c r="CQY17" s="68">
        <f t="shared" si="743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4"/>
        <v>448</v>
      </c>
      <c r="CRG17" s="68">
        <f t="shared" si="745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6"/>
        <v>537</v>
      </c>
      <c r="CRO17" s="68">
        <f t="shared" si="747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8"/>
        <v>771</v>
      </c>
      <c r="CRW17" s="68">
        <f t="shared" si="749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50"/>
        <v>308</v>
      </c>
      <c r="CSE17" s="68">
        <f t="shared" si="751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2"/>
        <v>771</v>
      </c>
      <c r="CSM17" s="68">
        <f t="shared" si="753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4"/>
        <v>875</v>
      </c>
      <c r="CSU17" s="68">
        <f t="shared" si="755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6"/>
        <v>758</v>
      </c>
      <c r="CTC17" s="68">
        <f t="shared" si="757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8"/>
        <v>1132</v>
      </c>
      <c r="CTK17" s="68">
        <f t="shared" si="759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60"/>
        <v>547</v>
      </c>
      <c r="CTS17" s="68">
        <f t="shared" si="761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2"/>
        <v>1255</v>
      </c>
      <c r="CUA17" s="68">
        <f t="shared" si="763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4"/>
        <v>861</v>
      </c>
      <c r="CUI17" s="68">
        <f t="shared" si="765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6"/>
        <v>905</v>
      </c>
      <c r="CUQ17" s="68">
        <f t="shared" si="767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8"/>
        <v>447</v>
      </c>
      <c r="CUY17" s="68">
        <f t="shared" si="769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70"/>
        <v>981</v>
      </c>
      <c r="CVG17" s="68">
        <f t="shared" si="771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2"/>
        <v>1100</v>
      </c>
      <c r="CVO17" s="68">
        <f t="shared" si="773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4"/>
        <v>1053</v>
      </c>
      <c r="CVW17" s="68">
        <f t="shared" si="775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6"/>
        <v>989</v>
      </c>
      <c r="CWE17" s="68">
        <f t="shared" si="777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8"/>
        <v>551</v>
      </c>
      <c r="CWM17" s="68">
        <f t="shared" si="779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80"/>
        <v>1190</v>
      </c>
      <c r="CWU17" s="68">
        <f t="shared" si="781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2"/>
        <v>655</v>
      </c>
      <c r="CXC17" s="43">
        <f t="shared" si="783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4"/>
        <v>331</v>
      </c>
      <c r="CXK17" s="43">
        <f t="shared" si="785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6"/>
        <v>1583</v>
      </c>
      <c r="CXS17" s="43">
        <f t="shared" si="787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8"/>
        <v>1102</v>
      </c>
      <c r="CYA17" s="43">
        <f t="shared" si="789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90"/>
        <v>655</v>
      </c>
      <c r="CYI17" s="43">
        <f t="shared" si="791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2"/>
        <v>440</v>
      </c>
      <c r="CYQ17" s="43">
        <f t="shared" si="793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4"/>
        <v>939</v>
      </c>
      <c r="CYY17" s="43">
        <f t="shared" si="795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6"/>
        <v>220</v>
      </c>
      <c r="CZG17" s="43">
        <f t="shared" si="797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8"/>
        <v>1318</v>
      </c>
      <c r="CZO17" s="43">
        <f t="shared" si="799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800"/>
        <v>400</v>
      </c>
      <c r="CZW17" s="43">
        <f t="shared" si="801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2"/>
        <v>1321</v>
      </c>
      <c r="DAE17" s="68">
        <f t="shared" si="803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4"/>
        <v>330</v>
      </c>
      <c r="DAM17" s="68">
        <f t="shared" si="805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6"/>
        <v>1320</v>
      </c>
      <c r="DAU17" s="68">
        <f t="shared" si="807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8"/>
        <v>1261</v>
      </c>
      <c r="DBC17" s="68">
        <f t="shared" si="809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10"/>
        <v>440</v>
      </c>
      <c r="DBK17" s="68">
        <f t="shared" si="811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2"/>
        <v>659</v>
      </c>
      <c r="DBS17" s="68">
        <f t="shared" si="813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4"/>
        <v>879</v>
      </c>
      <c r="DCA17" s="68">
        <f t="shared" si="815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6"/>
        <v>1240</v>
      </c>
      <c r="DCI17" s="68">
        <f t="shared" si="817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8"/>
        <v>220</v>
      </c>
      <c r="DCQ17" s="68">
        <f t="shared" si="819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20"/>
        <v>1024</v>
      </c>
      <c r="DCY17" s="68">
        <f t="shared" si="821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2"/>
        <v>658</v>
      </c>
      <c r="DDG17" s="68">
        <f t="shared" si="823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4"/>
        <v>1082</v>
      </c>
      <c r="DDO17" s="43">
        <f t="shared" si="825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6"/>
        <v>656</v>
      </c>
      <c r="DDW17" s="43">
        <f t="shared" si="827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8"/>
        <v>1099</v>
      </c>
      <c r="DEE17" s="43">
        <f t="shared" si="829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30"/>
        <v>557</v>
      </c>
      <c r="DEM17" s="43">
        <f t="shared" si="831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2"/>
        <v>451</v>
      </c>
      <c r="DEU17" s="43">
        <f t="shared" si="833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4"/>
        <v>1207</v>
      </c>
      <c r="DFC17" s="43">
        <f t="shared" si="835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6"/>
        <v>330</v>
      </c>
      <c r="DFK17" s="43">
        <f t="shared" si="837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8"/>
        <v>839</v>
      </c>
      <c r="DFS17" s="68">
        <f t="shared" si="839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40"/>
        <v>882</v>
      </c>
      <c r="DGA17" s="43">
        <f t="shared" si="841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2"/>
        <v>551</v>
      </c>
      <c r="DGI17" s="43">
        <f t="shared" si="843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4"/>
        <v>646</v>
      </c>
      <c r="DGQ17" s="68">
        <f t="shared" si="845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6"/>
        <v>1031</v>
      </c>
      <c r="DGY17" s="68">
        <f t="shared" si="847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8"/>
        <v>868</v>
      </c>
      <c r="DHG17" s="68">
        <f t="shared" si="849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50"/>
        <v>440</v>
      </c>
      <c r="DHO17" s="68">
        <f t="shared" si="851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2"/>
        <v>502</v>
      </c>
      <c r="DHW17" s="68">
        <f t="shared" si="853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4"/>
        <v>998</v>
      </c>
      <c r="DIE17" s="68">
        <f t="shared" si="855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6"/>
        <v>460</v>
      </c>
      <c r="DIM17" s="68">
        <f t="shared" si="857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8"/>
        <v>665</v>
      </c>
      <c r="DIU17" s="68">
        <f t="shared" si="859"/>
        <v>110.83333333333333</v>
      </c>
      <c r="DIV17" s="48">
        <f>SUMIF(SUMPK!$B:$B,$B:$B,SUMPK!$O:$O)</f>
        <v>442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60"/>
        <v>870</v>
      </c>
      <c r="DJC17" s="68">
        <f t="shared" si="861"/>
        <v>145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2"/>
        <v>758</v>
      </c>
      <c r="DJK17" s="68">
        <f t="shared" si="863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4"/>
        <v>722</v>
      </c>
      <c r="DJS17" s="68">
        <f t="shared" si="865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6"/>
        <v>112</v>
      </c>
      <c r="DKA17" s="68">
        <f t="shared" si="867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8"/>
        <v>1033</v>
      </c>
      <c r="DKI17" s="68">
        <f t="shared" si="869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70"/>
        <v>626</v>
      </c>
      <c r="DKQ17" s="68">
        <f t="shared" si="871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2"/>
        <v>551</v>
      </c>
      <c r="DKY17" s="68">
        <f t="shared" si="873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4"/>
        <v>990</v>
      </c>
      <c r="DLG17" s="68">
        <f t="shared" si="875"/>
        <v>165</v>
      </c>
      <c r="DLH17" s="48"/>
      <c r="DLI17" s="49">
        <v>0</v>
      </c>
      <c r="DLJ17" s="49">
        <v>0</v>
      </c>
      <c r="DLK17" s="49">
        <f>SUMIF(SUMPK!$B:$B,$B:$B,SUMPK!$O:$O)</f>
        <v>442</v>
      </c>
      <c r="DLL17" s="49"/>
      <c r="DLM17" s="49">
        <v>0</v>
      </c>
      <c r="DLN17" s="64">
        <f t="shared" si="876"/>
        <v>442</v>
      </c>
      <c r="DLO17" s="68">
        <f t="shared" si="877"/>
        <v>73.666666666666671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8"/>
        <v>663</v>
      </c>
      <c r="DLW17" s="68">
        <f t="shared" si="879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80"/>
        <v>881</v>
      </c>
      <c r="DME17" s="68">
        <f t="shared" si="881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2"/>
        <v>220</v>
      </c>
      <c r="DMM17" s="68">
        <f t="shared" si="883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4"/>
        <v>1150</v>
      </c>
      <c r="DMU17" s="68">
        <f t="shared" si="885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6"/>
        <v>75</v>
      </c>
      <c r="DNC17" s="68">
        <f t="shared" si="887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8"/>
        <v>739</v>
      </c>
      <c r="DNK17" s="68">
        <f t="shared" si="889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90"/>
        <v>220</v>
      </c>
      <c r="DNS17" s="68">
        <f t="shared" si="891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2"/>
        <v>933</v>
      </c>
      <c r="DOA17" s="68">
        <f t="shared" si="893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4"/>
        <v>330</v>
      </c>
      <c r="DOI17" s="68">
        <f t="shared" si="895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6"/>
        <v>766</v>
      </c>
      <c r="DOQ17" s="68">
        <f t="shared" si="897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8"/>
        <v>550</v>
      </c>
      <c r="DOY17" s="68">
        <f t="shared" si="899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900"/>
        <v>438</v>
      </c>
      <c r="DPG17" s="68">
        <f t="shared" si="901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2"/>
        <v>777</v>
      </c>
      <c r="DPO17" s="68">
        <f t="shared" si="903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4"/>
        <v>1220</v>
      </c>
      <c r="DPW17" s="492">
        <f t="shared" si="905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6"/>
        <v>0</v>
      </c>
      <c r="DQE17" s="492">
        <f t="shared" si="907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8"/>
        <v>1037</v>
      </c>
      <c r="DQM17" s="492">
        <f t="shared" si="909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10"/>
        <v>220</v>
      </c>
      <c r="DQU17" s="68">
        <f t="shared" si="911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2"/>
        <v>661</v>
      </c>
      <c r="DRC17" s="492">
        <f t="shared" si="913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4"/>
        <v>441</v>
      </c>
      <c r="DRK17" s="492">
        <f t="shared" si="915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6"/>
        <v>0</v>
      </c>
      <c r="DRS17" s="68">
        <f t="shared" si="917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8"/>
        <v>879</v>
      </c>
      <c r="DSA17" s="68">
        <f t="shared" si="919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20"/>
        <v>550</v>
      </c>
      <c r="DSI17" s="68">
        <f t="shared" si="921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2"/>
        <v>550</v>
      </c>
      <c r="DSQ17" s="68">
        <f t="shared" si="923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4"/>
        <v>550</v>
      </c>
      <c r="DSY17" s="68">
        <f t="shared" si="925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6"/>
        <v>666</v>
      </c>
      <c r="DTG17" s="68">
        <f t="shared" si="927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8"/>
        <v>608</v>
      </c>
      <c r="DTO17" s="68">
        <f t="shared" si="929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30"/>
        <v>440</v>
      </c>
      <c r="DTW17" s="68">
        <f t="shared" si="931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2"/>
        <v>441</v>
      </c>
      <c r="DUE17" s="68">
        <f t="shared" si="933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4"/>
        <v>993</v>
      </c>
      <c r="DUM17" s="68">
        <f t="shared" si="935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6"/>
        <v>441</v>
      </c>
      <c r="DUU17" s="184">
        <f t="shared" si="937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8"/>
        <v>660</v>
      </c>
      <c r="DVC17" s="68">
        <f t="shared" si="939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40"/>
        <v>770</v>
      </c>
      <c r="DVK17" s="68">
        <f t="shared" si="941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2"/>
        <v>220</v>
      </c>
      <c r="DVS17" s="68">
        <f t="shared" si="943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4"/>
        <v>440</v>
      </c>
      <c r="DWA17" s="68">
        <f t="shared" si="945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6"/>
        <v>699</v>
      </c>
      <c r="DWI17" s="68">
        <f t="shared" si="947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8"/>
        <v>440</v>
      </c>
      <c r="DWQ17" s="68">
        <f t="shared" si="949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50"/>
        <v>659</v>
      </c>
      <c r="DWY17" s="68">
        <f t="shared" si="1207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51"/>
        <v>663</v>
      </c>
      <c r="DXG17" s="68">
        <f t="shared" si="952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3"/>
        <v>440</v>
      </c>
      <c r="DXO17" s="68">
        <f t="shared" si="954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5"/>
        <v>1097</v>
      </c>
      <c r="DXW17" s="68">
        <f t="shared" si="956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7"/>
        <v>598</v>
      </c>
      <c r="DYE17" s="68">
        <f t="shared" si="958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9"/>
        <v>433</v>
      </c>
      <c r="DYM17" s="68">
        <f t="shared" si="960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61"/>
        <v>220</v>
      </c>
      <c r="DYU17" s="68">
        <f t="shared" si="962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3"/>
        <v>440</v>
      </c>
      <c r="DZC17" s="68">
        <f t="shared" si="964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442</v>
      </c>
      <c r="DZI17" s="49"/>
      <c r="DZJ17" s="64">
        <f t="shared" si="965"/>
        <v>1384</v>
      </c>
      <c r="DZK17" s="68">
        <f t="shared" si="966"/>
        <v>230.66666666666666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7"/>
        <v>470</v>
      </c>
      <c r="DZS17" s="68">
        <f t="shared" si="968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9"/>
        <v>330</v>
      </c>
      <c r="EAA17" s="68">
        <f t="shared" si="970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71"/>
        <v>521</v>
      </c>
      <c r="EAI17" s="68">
        <f t="shared" si="972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3"/>
        <v>810</v>
      </c>
      <c r="EAQ17" s="68">
        <f t="shared" si="1208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4"/>
        <v>661</v>
      </c>
      <c r="EAY17" s="68">
        <f t="shared" si="975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6"/>
        <v>440</v>
      </c>
      <c r="EBG17" s="68">
        <f t="shared" si="977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8"/>
        <v>838</v>
      </c>
      <c r="EBO17" s="68">
        <f t="shared" si="1137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9"/>
        <v>553</v>
      </c>
      <c r="EBW17" s="68">
        <f t="shared" si="980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81"/>
        <v>333</v>
      </c>
      <c r="ECE17" s="68">
        <f t="shared" si="982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3"/>
        <v>660</v>
      </c>
      <c r="ECM17" s="68">
        <f t="shared" si="984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5"/>
        <v>550</v>
      </c>
      <c r="ECU17" s="68">
        <f t="shared" si="986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7"/>
        <v>650</v>
      </c>
      <c r="EDC17" s="68">
        <f t="shared" si="988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9"/>
        <v>218</v>
      </c>
      <c r="EDK17" s="68">
        <f t="shared" si="990"/>
        <v>36.333333333333336</v>
      </c>
      <c r="EDL17" s="48">
        <v>440</v>
      </c>
      <c r="EDM17" s="49"/>
      <c r="EDN17" s="49"/>
      <c r="EDO17" s="49">
        <f>SUMIF(SUMPK!$B:$B,$B:$B,SUMPK!$O:$O)</f>
        <v>442</v>
      </c>
      <c r="EDP17" s="49"/>
      <c r="EDQ17" s="49">
        <v>329</v>
      </c>
      <c r="EDR17" s="64">
        <f t="shared" si="991"/>
        <v>1211</v>
      </c>
      <c r="EDS17" s="184">
        <f t="shared" si="992"/>
        <v>201.83333333333334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3"/>
        <v>549</v>
      </c>
      <c r="EEA17" s="184">
        <f t="shared" si="994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5"/>
        <v>440</v>
      </c>
      <c r="EEI17" s="68">
        <f t="shared" si="996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7"/>
        <v>440</v>
      </c>
      <c r="EEQ17" s="68">
        <f t="shared" si="998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9"/>
        <v>439</v>
      </c>
      <c r="EEY17" s="68">
        <f t="shared" si="1000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1001"/>
        <v>682</v>
      </c>
      <c r="EFG17" s="68">
        <f t="shared" si="1002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3"/>
        <v>878</v>
      </c>
      <c r="EFO17" s="68">
        <f t="shared" si="1004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5"/>
        <v>330</v>
      </c>
      <c r="EFW17" s="68">
        <f t="shared" si="1006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7"/>
        <v>440</v>
      </c>
      <c r="EGE17" s="68">
        <f t="shared" si="1008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9"/>
        <v>410</v>
      </c>
      <c r="EGM17" s="68">
        <f t="shared" si="1010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11"/>
        <v>409</v>
      </c>
      <c r="EGU17" s="68">
        <f t="shared" si="1209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2"/>
        <v>440</v>
      </c>
      <c r="EHC17" s="68">
        <f t="shared" si="1013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4"/>
        <v>864</v>
      </c>
      <c r="EHK17" s="68">
        <f t="shared" si="1015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6"/>
        <v>420</v>
      </c>
      <c r="EHS17" s="68">
        <f t="shared" si="1017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8"/>
        <v>445</v>
      </c>
      <c r="EIA17" s="68">
        <f t="shared" si="1019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20"/>
        <v>553</v>
      </c>
      <c r="EII17" s="68">
        <f t="shared" si="1021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2"/>
        <v>763</v>
      </c>
      <c r="EIQ17" s="68">
        <f t="shared" si="1023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4"/>
        <v>220</v>
      </c>
      <c r="EIY17" s="68">
        <f t="shared" si="1025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6"/>
        <v>419</v>
      </c>
      <c r="EJG17" s="68">
        <f t="shared" si="1027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8"/>
        <v>440</v>
      </c>
      <c r="EJO17" s="68">
        <f t="shared" si="1029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30"/>
        <v>768</v>
      </c>
      <c r="EJW17" s="68">
        <f t="shared" si="1031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2"/>
        <v>0</v>
      </c>
      <c r="EKE17" s="68">
        <f t="shared" si="1033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4"/>
        <v>552</v>
      </c>
      <c r="EKM17" s="68">
        <f t="shared" si="1035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6"/>
        <v>411</v>
      </c>
      <c r="EKU17" s="184">
        <f t="shared" si="1037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8"/>
        <v>841</v>
      </c>
      <c r="ELD17" s="211">
        <f t="shared" si="1039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40"/>
        <v>660</v>
      </c>
      <c r="ELL17" s="211">
        <f t="shared" si="1041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2"/>
        <v>661</v>
      </c>
      <c r="ELT17" s="211">
        <f t="shared" si="1043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4"/>
        <v>642</v>
      </c>
      <c r="EMB17" s="211">
        <f t="shared" si="1045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6"/>
        <v>437</v>
      </c>
      <c r="EMJ17" s="211">
        <f t="shared" si="1047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8"/>
        <v>665</v>
      </c>
      <c r="EMR17" s="211">
        <f t="shared" si="1049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50"/>
        <v>667</v>
      </c>
      <c r="EMZ17" s="211">
        <f t="shared" si="1051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2"/>
        <v>619</v>
      </c>
      <c r="ENH17" s="211">
        <f t="shared" si="1053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4"/>
        <v>437</v>
      </c>
      <c r="ENP17" s="211">
        <f t="shared" si="1055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6"/>
        <v>647</v>
      </c>
      <c r="ENX17" s="211">
        <f t="shared" si="1057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8"/>
        <v>544</v>
      </c>
      <c r="EOF17" s="211">
        <f t="shared" si="1059"/>
        <v>90.666666666666671</v>
      </c>
      <c r="EOG17" s="195"/>
      <c r="EOH17" s="360">
        <f>SUMIF(SUMPK!$B:$B,$B:$B,SUMPK!$O:$O)</f>
        <v>442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60"/>
        <v>662</v>
      </c>
      <c r="EON17" s="211">
        <f t="shared" si="1061"/>
        <v>110.33333333333333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2"/>
        <v>437</v>
      </c>
      <c r="EOV17" s="211">
        <f t="shared" si="1063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4"/>
        <v>1099</v>
      </c>
      <c r="EPD17" s="211">
        <f t="shared" si="1065"/>
        <v>183.16666666666666</v>
      </c>
      <c r="EPE17" s="195">
        <v>219</v>
      </c>
      <c r="EPF17" s="49">
        <f>SUMIF(SUMPK!$B:$B,$B:$B,SUMPK!$O:$O)</f>
        <v>442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6"/>
        <v>1318</v>
      </c>
      <c r="EPL17" s="211">
        <f t="shared" si="1067"/>
        <v>219.66666666666666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8"/>
        <v>432</v>
      </c>
      <c r="EPT17" s="211">
        <f t="shared" si="1069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70"/>
        <v>604</v>
      </c>
      <c r="EQB17" s="211">
        <f t="shared" si="1071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2"/>
        <v>441</v>
      </c>
      <c r="EQJ17" s="211">
        <f t="shared" si="1073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4"/>
        <v>661</v>
      </c>
      <c r="EQR17" s="211">
        <f t="shared" si="1075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6"/>
        <v>441</v>
      </c>
      <c r="EQZ17" s="211">
        <f t="shared" si="1077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8"/>
        <v>782</v>
      </c>
      <c r="ERH17" s="211">
        <f t="shared" si="1079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80"/>
        <v>329</v>
      </c>
      <c r="ERP17" s="211">
        <f t="shared" si="1081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2"/>
        <v>779</v>
      </c>
      <c r="ERX17" s="211">
        <f t="shared" si="1083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4"/>
        <v>456</v>
      </c>
      <c r="ESF17" s="211">
        <f t="shared" si="1085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6"/>
        <v>822</v>
      </c>
      <c r="ESN17" s="211">
        <f t="shared" si="1087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8"/>
        <v>447</v>
      </c>
      <c r="ESV17" s="211">
        <f t="shared" si="1089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90"/>
        <v>440</v>
      </c>
      <c r="ETD17" s="211">
        <f t="shared" si="1091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2"/>
        <v>222</v>
      </c>
      <c r="ETL17" s="211">
        <f t="shared" si="1093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4"/>
        <v>657</v>
      </c>
      <c r="ETT17" s="211">
        <f t="shared" si="1095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6"/>
        <v>443</v>
      </c>
      <c r="EUB17" s="211">
        <f t="shared" si="1097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8"/>
        <v>625</v>
      </c>
      <c r="EUJ17" s="211">
        <f t="shared" si="1099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442</v>
      </c>
      <c r="EUO17" s="49"/>
      <c r="EUP17" s="49">
        <v>109</v>
      </c>
      <c r="EUQ17" s="808">
        <f t="shared" si="1100"/>
        <v>772</v>
      </c>
      <c r="EUR17" s="211">
        <f t="shared" si="1101"/>
        <v>128.66666666666666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2"/>
        <v>661</v>
      </c>
      <c r="EUZ17" s="211">
        <f t="shared" si="1103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4"/>
        <v>220</v>
      </c>
      <c r="EVH17" s="211">
        <f t="shared" si="1105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6"/>
        <v>747</v>
      </c>
      <c r="EVP17" s="211">
        <f t="shared" si="1107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8"/>
        <v>768</v>
      </c>
      <c r="EVX17" s="211">
        <f t="shared" si="1109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10"/>
        <v>434</v>
      </c>
      <c r="EWF17" s="211">
        <f t="shared" si="1111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2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3"/>
        <v>440</v>
      </c>
      <c r="EWV17" s="211">
        <f t="shared" si="1114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5"/>
        <v>0</v>
      </c>
      <c r="EXD17" s="211">
        <f t="shared" si="1116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7"/>
        <v>707</v>
      </c>
      <c r="EXL17" s="211">
        <f t="shared" si="1118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9"/>
        <v>440</v>
      </c>
      <c r="EXT17" s="211">
        <f t="shared" si="1120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21"/>
        <v>220</v>
      </c>
      <c r="EYB17" s="211">
        <f t="shared" si="1122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3"/>
        <v>1059</v>
      </c>
      <c r="EYJ17" s="211">
        <f t="shared" si="1124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5"/>
        <v>660</v>
      </c>
      <c r="EYR17" s="211">
        <f t="shared" si="1126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7"/>
        <v>2873</v>
      </c>
      <c r="EYZ17" s="873">
        <f t="shared" si="1128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9"/>
        <v>541</v>
      </c>
      <c r="EZH17" s="873">
        <f t="shared" si="1130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442</v>
      </c>
      <c r="EZN17" s="49">
        <v>220</v>
      </c>
      <c r="EZO17" s="872">
        <f t="shared" si="1131"/>
        <v>1099</v>
      </c>
      <c r="EZP17" s="873">
        <f t="shared" si="1132"/>
        <v>183.16666666666666</v>
      </c>
      <c r="EZQ17" s="458"/>
      <c r="EZR17" s="83"/>
      <c r="EZS17" s="83">
        <v>0</v>
      </c>
      <c r="EZT17" s="83"/>
      <c r="EZU17" s="83"/>
      <c r="EZV17" s="83">
        <v>0</v>
      </c>
      <c r="EZW17" s="872">
        <f t="shared" si="1133"/>
        <v>0</v>
      </c>
      <c r="EZX17" s="873">
        <f t="shared" si="1134"/>
        <v>0</v>
      </c>
      <c r="EZY17" s="195">
        <v>0</v>
      </c>
      <c r="EZZ17" s="49">
        <v>0</v>
      </c>
      <c r="FAA17" s="49"/>
      <c r="FAB17" s="49"/>
      <c r="FAC17" s="49"/>
      <c r="FAD17" s="49"/>
      <c r="FAE17" s="872">
        <f t="shared" si="1135"/>
        <v>0</v>
      </c>
      <c r="FAF17" s="873">
        <f t="shared" si="1136"/>
        <v>0</v>
      </c>
    </row>
    <row r="18" spans="1:4088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720</v>
      </c>
      <c r="G18" s="24"/>
      <c r="H18" s="24"/>
      <c r="I18" s="24"/>
      <c r="J18" s="360">
        <f>SUMIF(SUMPK!$B:$B,$B:$B,SUMPK!$O:$O)</f>
        <v>0</v>
      </c>
      <c r="K18" s="15">
        <f t="shared" si="1210"/>
        <v>0</v>
      </c>
      <c r="L18" s="24">
        <f t="shared" si="189"/>
        <v>720</v>
      </c>
      <c r="M18" s="24">
        <f t="shared" si="190"/>
        <v>720</v>
      </c>
      <c r="N18" s="15">
        <v>23.666666666666668</v>
      </c>
      <c r="O18" s="276">
        <f t="shared" ref="O18:O21" si="1212">IF(N18=0,0,M18/N18)</f>
        <v>30.422535211267604</v>
      </c>
      <c r="P18" s="712">
        <v>73.333333333333329</v>
      </c>
      <c r="Q18" s="276">
        <f t="shared" si="192"/>
        <v>58.909090909090907</v>
      </c>
      <c r="R18" s="277">
        <f t="shared" si="193"/>
        <v>30.76923076923077</v>
      </c>
      <c r="S18" s="222">
        <v>800</v>
      </c>
      <c r="T18" s="276">
        <f t="shared" ref="T18:T20" si="1213">IF(R18=0,0,M18/R18)</f>
        <v>23.4</v>
      </c>
      <c r="U18" s="303"/>
      <c r="V18" s="302">
        <f t="shared" si="1211"/>
        <v>23.4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43"/>
        <v>646</v>
      </c>
      <c r="AK18" s="43">
        <f t="shared" si="1144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45"/>
        <v>1209</v>
      </c>
      <c r="AS18" s="43">
        <f t="shared" si="1146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7"/>
        <v>300</v>
      </c>
      <c r="BA18" s="43">
        <f t="shared" si="1148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9"/>
        <v>1000</v>
      </c>
      <c r="BI18" s="43">
        <f t="shared" si="1150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51"/>
        <v>750</v>
      </c>
      <c r="BQ18" s="43">
        <f t="shared" si="1152"/>
        <v>125</v>
      </c>
      <c r="BR18" s="48"/>
      <c r="BS18" s="49"/>
      <c r="BT18" s="49"/>
      <c r="BU18" s="49">
        <v>600</v>
      </c>
      <c r="BV18" s="49"/>
      <c r="BW18" s="49"/>
      <c r="BX18" s="42">
        <f t="shared" si="1153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54"/>
        <v>1000</v>
      </c>
      <c r="CG18" s="43">
        <f t="shared" si="1155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6"/>
        <v>1200</v>
      </c>
      <c r="CO18" s="43">
        <f t="shared" si="1157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8"/>
        <v>700</v>
      </c>
      <c r="CW18" s="43">
        <f t="shared" si="1159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60"/>
        <v>1976</v>
      </c>
      <c r="DE18" s="43">
        <f t="shared" si="1161"/>
        <v>329.33333333333331</v>
      </c>
      <c r="DF18" s="48"/>
      <c r="DG18" s="49"/>
      <c r="DH18" s="49"/>
      <c r="DI18" s="49"/>
      <c r="DJ18" s="49"/>
      <c r="DK18" s="49"/>
      <c r="DL18" s="42">
        <f t="shared" si="1162"/>
        <v>0</v>
      </c>
      <c r="DM18" s="43">
        <f t="shared" si="1163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64"/>
        <v>1556</v>
      </c>
      <c r="DU18" s="43">
        <f t="shared" si="1165"/>
        <v>259.33333333333331</v>
      </c>
      <c r="DV18" s="48"/>
      <c r="DW18" s="49"/>
      <c r="DX18" s="49"/>
      <c r="DY18" s="49"/>
      <c r="DZ18" s="49"/>
      <c r="EA18" s="49"/>
      <c r="EB18" s="42">
        <f t="shared" si="1166"/>
        <v>0</v>
      </c>
      <c r="EC18" s="43">
        <f t="shared" si="1167"/>
        <v>0</v>
      </c>
      <c r="ED18" s="48"/>
      <c r="EE18" s="49"/>
      <c r="EF18" s="49"/>
      <c r="EG18" s="49">
        <v>800</v>
      </c>
      <c r="EH18" s="49"/>
      <c r="EI18" s="49"/>
      <c r="EJ18" s="42">
        <f t="shared" si="1168"/>
        <v>800</v>
      </c>
      <c r="EK18" s="43">
        <f t="shared" si="1169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70"/>
        <v>800</v>
      </c>
      <c r="ES18" s="43">
        <f t="shared" si="1171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72"/>
        <v>785</v>
      </c>
      <c r="FA18" s="43">
        <f t="shared" si="1173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74"/>
        <v>1047</v>
      </c>
      <c r="FI18" s="43">
        <f t="shared" si="1175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6"/>
        <v>972</v>
      </c>
      <c r="FQ18" s="43">
        <f t="shared" si="1177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8"/>
        <v>800</v>
      </c>
      <c r="FY18" s="43">
        <f t="shared" si="1179"/>
        <v>133.33333333333334</v>
      </c>
      <c r="FZ18" s="48"/>
      <c r="GA18" s="49"/>
      <c r="GB18" s="49"/>
      <c r="GC18" s="49"/>
      <c r="GD18" s="49"/>
      <c r="GE18" s="49"/>
      <c r="GF18" s="42">
        <f t="shared" si="1180"/>
        <v>0</v>
      </c>
      <c r="GG18" s="43">
        <f t="shared" si="1181"/>
        <v>0</v>
      </c>
      <c r="GH18" s="48">
        <v>798</v>
      </c>
      <c r="GI18" s="49"/>
      <c r="GJ18" s="49"/>
      <c r="GK18" s="49"/>
      <c r="GL18" s="49"/>
      <c r="GM18" s="49"/>
      <c r="GN18" s="42">
        <f t="shared" si="1182"/>
        <v>798</v>
      </c>
      <c r="GO18" s="43">
        <f t="shared" si="1183"/>
        <v>133</v>
      </c>
      <c r="GP18" s="48"/>
      <c r="GQ18" s="49"/>
      <c r="GR18" s="49">
        <v>800</v>
      </c>
      <c r="GS18" s="49"/>
      <c r="GT18" s="49"/>
      <c r="GU18" s="49"/>
      <c r="GV18" s="42">
        <f t="shared" si="1184"/>
        <v>800</v>
      </c>
      <c r="GW18" s="43">
        <f t="shared" si="1185"/>
        <v>133.33333333333334</v>
      </c>
      <c r="GX18" s="48"/>
      <c r="GY18" s="49"/>
      <c r="GZ18" s="49"/>
      <c r="HA18" s="49"/>
      <c r="HB18" s="49"/>
      <c r="HC18" s="49"/>
      <c r="HD18" s="42">
        <f t="shared" si="1186"/>
        <v>0</v>
      </c>
      <c r="HE18" s="43">
        <f t="shared" si="1187"/>
        <v>0</v>
      </c>
      <c r="HF18" s="48"/>
      <c r="HG18" s="49"/>
      <c r="HH18" s="49"/>
      <c r="HI18" s="49"/>
      <c r="HJ18" s="49"/>
      <c r="HK18" s="49"/>
      <c r="HL18" s="42">
        <f t="shared" si="1188"/>
        <v>0</v>
      </c>
      <c r="HM18" s="43">
        <f t="shared" si="1189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90"/>
        <v>976</v>
      </c>
      <c r="HU18" s="43">
        <f t="shared" si="1191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92"/>
        <v>567</v>
      </c>
      <c r="IC18" s="43">
        <f t="shared" si="1193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94"/>
        <v>977</v>
      </c>
      <c r="IK18" s="43">
        <f t="shared" si="1195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6"/>
        <v>1276</v>
      </c>
      <c r="IS18" s="68">
        <f t="shared" si="1197"/>
        <v>212.66666666666666</v>
      </c>
      <c r="IT18" s="48"/>
      <c r="IU18" s="49"/>
      <c r="IV18" s="49"/>
      <c r="IW18" s="49"/>
      <c r="IX18" s="49"/>
      <c r="IY18" s="49"/>
      <c r="IZ18" s="67">
        <f t="shared" si="1198"/>
        <v>0</v>
      </c>
      <c r="JA18" s="68">
        <f t="shared" si="1199"/>
        <v>0</v>
      </c>
      <c r="JB18" s="48"/>
      <c r="JC18" s="49"/>
      <c r="JD18" s="49"/>
      <c r="JE18" s="49">
        <v>800</v>
      </c>
      <c r="JF18" s="49"/>
      <c r="JG18" s="49"/>
      <c r="JH18" s="67">
        <f t="shared" si="1200"/>
        <v>800</v>
      </c>
      <c r="JI18" s="68">
        <f t="shared" si="1201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202"/>
        <v>1153</v>
      </c>
      <c r="JQ18" s="43">
        <f t="shared" si="1203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204"/>
        <v>790</v>
      </c>
      <c r="JY18" s="43">
        <f t="shared" si="1205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6"/>
        <v>1493</v>
      </c>
      <c r="KG18" s="43">
        <f t="shared" si="197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8"/>
        <v>600</v>
      </c>
      <c r="KO18" s="68">
        <f t="shared" si="199"/>
        <v>100</v>
      </c>
      <c r="KP18" s="48"/>
      <c r="KQ18" s="49"/>
      <c r="KR18" s="49"/>
      <c r="KS18" s="49"/>
      <c r="KT18" s="49"/>
      <c r="KU18" s="49">
        <v>1000</v>
      </c>
      <c r="KV18" s="67">
        <f t="shared" si="200"/>
        <v>1000</v>
      </c>
      <c r="KW18" s="68">
        <f t="shared" si="201"/>
        <v>166.66666666666666</v>
      </c>
      <c r="KX18" s="48"/>
      <c r="KY18" s="49"/>
      <c r="KZ18" s="49"/>
      <c r="LA18" s="49"/>
      <c r="LB18" s="49"/>
      <c r="LC18" s="49"/>
      <c r="LD18" s="67">
        <f t="shared" si="202"/>
        <v>0</v>
      </c>
      <c r="LE18" s="68">
        <f t="shared" si="203"/>
        <v>0</v>
      </c>
      <c r="LF18" s="48">
        <v>600</v>
      </c>
      <c r="LG18" s="49"/>
      <c r="LH18" s="49"/>
      <c r="LI18" s="49"/>
      <c r="LJ18" s="49"/>
      <c r="LK18" s="49"/>
      <c r="LL18" s="67">
        <f t="shared" si="204"/>
        <v>600</v>
      </c>
      <c r="LM18" s="68">
        <f t="shared" si="205"/>
        <v>100</v>
      </c>
      <c r="LN18" s="48"/>
      <c r="LO18" s="49">
        <v>800</v>
      </c>
      <c r="LP18" s="49"/>
      <c r="LQ18" s="49"/>
      <c r="LR18" s="49"/>
      <c r="LS18" s="49"/>
      <c r="LT18" s="67">
        <f t="shared" si="206"/>
        <v>800</v>
      </c>
      <c r="LU18" s="68">
        <f t="shared" si="207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8"/>
        <v>600</v>
      </c>
      <c r="MC18" s="68">
        <f t="shared" si="209"/>
        <v>100</v>
      </c>
      <c r="MD18" s="48"/>
      <c r="ME18" s="49"/>
      <c r="MF18" s="49">
        <v>639</v>
      </c>
      <c r="MG18" s="49"/>
      <c r="MH18" s="49"/>
      <c r="MI18" s="49"/>
      <c r="MJ18" s="67">
        <f t="shared" si="210"/>
        <v>639</v>
      </c>
      <c r="MK18" s="68">
        <f t="shared" si="211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2"/>
        <v>599</v>
      </c>
      <c r="MS18" s="68">
        <f t="shared" si="213"/>
        <v>99.833333333333329</v>
      </c>
      <c r="MT18" s="48"/>
      <c r="MU18" s="49"/>
      <c r="MV18" s="49"/>
      <c r="MW18" s="49"/>
      <c r="MX18" s="49"/>
      <c r="MY18" s="49"/>
      <c r="MZ18" s="67">
        <f t="shared" si="214"/>
        <v>0</v>
      </c>
      <c r="NA18" s="68">
        <f t="shared" si="215"/>
        <v>0</v>
      </c>
      <c r="NB18" s="48"/>
      <c r="NC18" s="49">
        <v>830</v>
      </c>
      <c r="ND18" s="49"/>
      <c r="NE18" s="49"/>
      <c r="NF18" s="49"/>
      <c r="NG18" s="49"/>
      <c r="NH18" s="67">
        <f t="shared" si="216"/>
        <v>830</v>
      </c>
      <c r="NI18" s="68">
        <f t="shared" si="217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8"/>
        <v>400</v>
      </c>
      <c r="NQ18" s="68">
        <f t="shared" si="219"/>
        <v>66.666666666666671</v>
      </c>
      <c r="NR18" s="48"/>
      <c r="NS18" s="49"/>
      <c r="NT18" s="49"/>
      <c r="NU18" s="49"/>
      <c r="NV18" s="49"/>
      <c r="NW18" s="49"/>
      <c r="NX18" s="67">
        <f t="shared" si="220"/>
        <v>0</v>
      </c>
      <c r="NY18" s="68">
        <f t="shared" si="221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2"/>
        <v>845</v>
      </c>
      <c r="OG18" s="68">
        <f t="shared" si="223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4"/>
        <v>514</v>
      </c>
      <c r="OO18" s="68">
        <f t="shared" si="225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6"/>
        <v>400</v>
      </c>
      <c r="OW18" s="68">
        <f t="shared" si="227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8"/>
        <v>300</v>
      </c>
      <c r="PE18" s="68">
        <f t="shared" si="229"/>
        <v>50</v>
      </c>
      <c r="PF18" s="48">
        <v>300</v>
      </c>
      <c r="PG18" s="49"/>
      <c r="PH18" s="49"/>
      <c r="PI18" s="49"/>
      <c r="PJ18" s="49"/>
      <c r="PK18" s="49"/>
      <c r="PL18" s="67">
        <f t="shared" si="230"/>
        <v>300</v>
      </c>
      <c r="PM18" s="68">
        <f t="shared" si="231"/>
        <v>50</v>
      </c>
      <c r="PN18" s="48"/>
      <c r="PO18" s="49">
        <v>589</v>
      </c>
      <c r="PP18" s="49"/>
      <c r="PQ18" s="49"/>
      <c r="PR18" s="49"/>
      <c r="PS18" s="49"/>
      <c r="PT18" s="104">
        <f t="shared" si="232"/>
        <v>589</v>
      </c>
      <c r="PU18" s="105">
        <f t="shared" si="233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4"/>
        <v>600</v>
      </c>
      <c r="QC18" s="105">
        <f t="shared" si="235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6"/>
        <v>415</v>
      </c>
      <c r="QK18" s="105">
        <f t="shared" si="237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8"/>
        <v>589</v>
      </c>
      <c r="QS18" s="105">
        <f t="shared" si="239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40"/>
        <v>807</v>
      </c>
      <c r="RA18" s="105">
        <f t="shared" si="241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2"/>
        <v>606</v>
      </c>
      <c r="RI18" s="105">
        <f t="shared" si="243"/>
        <v>101</v>
      </c>
      <c r="RJ18" s="106"/>
      <c r="RK18" s="107"/>
      <c r="RL18" s="107"/>
      <c r="RM18" s="107"/>
      <c r="RN18" s="107"/>
      <c r="RO18" s="107"/>
      <c r="RP18" s="104">
        <f t="shared" si="244"/>
        <v>0</v>
      </c>
      <c r="RQ18" s="105">
        <f t="shared" si="245"/>
        <v>0</v>
      </c>
      <c r="RR18" s="106"/>
      <c r="RS18" s="107"/>
      <c r="RT18" s="107"/>
      <c r="RU18" s="107"/>
      <c r="RV18" s="107"/>
      <c r="RW18" s="107"/>
      <c r="RX18" s="104">
        <f t="shared" si="246"/>
        <v>0</v>
      </c>
      <c r="RY18" s="105">
        <f t="shared" si="247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8"/>
        <v>606</v>
      </c>
      <c r="SG18" s="105">
        <f t="shared" si="249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50"/>
        <v>621</v>
      </c>
      <c r="SO18" s="105">
        <f t="shared" si="251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2"/>
        <v>594</v>
      </c>
      <c r="SW18" s="105">
        <f t="shared" si="253"/>
        <v>99</v>
      </c>
      <c r="SX18" s="106"/>
      <c r="SY18" s="107"/>
      <c r="SZ18" s="107"/>
      <c r="TA18" s="107"/>
      <c r="TB18" s="107"/>
      <c r="TC18" s="107"/>
      <c r="TD18" s="104">
        <f t="shared" si="254"/>
        <v>0</v>
      </c>
      <c r="TE18" s="105">
        <f t="shared" si="255"/>
        <v>0</v>
      </c>
      <c r="TF18" s="106"/>
      <c r="TG18" s="107"/>
      <c r="TH18" s="107"/>
      <c r="TI18" s="107"/>
      <c r="TJ18" s="107"/>
      <c r="TK18" s="107"/>
      <c r="TL18" s="104">
        <f t="shared" si="256"/>
        <v>0</v>
      </c>
      <c r="TM18" s="105">
        <f t="shared" si="257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8"/>
        <v>398</v>
      </c>
      <c r="TU18" s="105">
        <f t="shared" si="259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60"/>
        <v>796</v>
      </c>
      <c r="UC18" s="105">
        <f t="shared" si="261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2"/>
        <v>593</v>
      </c>
      <c r="UK18" s="105">
        <f t="shared" si="263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4"/>
        <v>400</v>
      </c>
      <c r="UT18" s="105">
        <f t="shared" si="265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6"/>
        <v>600</v>
      </c>
      <c r="VB18" s="105">
        <f t="shared" si="267"/>
        <v>100</v>
      </c>
      <c r="VC18" s="106"/>
      <c r="VD18" s="107"/>
      <c r="VE18" s="107"/>
      <c r="VF18" s="107"/>
      <c r="VG18" s="107"/>
      <c r="VH18" s="107"/>
      <c r="VI18" s="104">
        <f t="shared" si="268"/>
        <v>0</v>
      </c>
      <c r="VJ18" s="105">
        <f t="shared" si="269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70"/>
        <v>568</v>
      </c>
      <c r="VR18" s="105">
        <f t="shared" si="271"/>
        <v>94.666666666666671</v>
      </c>
      <c r="VS18" s="106"/>
      <c r="VT18" s="107"/>
      <c r="VU18" s="107"/>
      <c r="VV18" s="107"/>
      <c r="VW18" s="107"/>
      <c r="VX18" s="107"/>
      <c r="VY18" s="104">
        <f t="shared" si="272"/>
        <v>0</v>
      </c>
      <c r="VZ18" s="105">
        <f t="shared" si="273"/>
        <v>0</v>
      </c>
      <c r="WA18" s="63"/>
      <c r="WB18" s="64"/>
      <c r="WC18" s="64"/>
      <c r="WD18" s="64"/>
      <c r="WE18" s="64"/>
      <c r="WF18" s="64"/>
      <c r="WG18" s="67">
        <f t="shared" si="274"/>
        <v>0</v>
      </c>
      <c r="WH18" s="68">
        <f t="shared" si="275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6"/>
        <v>792</v>
      </c>
      <c r="WP18" s="68">
        <f t="shared" si="277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8"/>
        <v>394</v>
      </c>
      <c r="WY18" s="68">
        <f t="shared" si="279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80"/>
        <v>802</v>
      </c>
      <c r="XH18" s="68">
        <f t="shared" si="281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2"/>
        <v>420</v>
      </c>
      <c r="XQ18" s="105">
        <f t="shared" si="283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4"/>
        <v>200</v>
      </c>
      <c r="XZ18" s="68">
        <f t="shared" si="285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6"/>
        <v>615</v>
      </c>
      <c r="YI18" s="68">
        <f t="shared" si="287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8"/>
        <v>400</v>
      </c>
      <c r="YR18" s="68">
        <f t="shared" si="289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90"/>
        <v>788</v>
      </c>
      <c r="YZ18" s="68">
        <f t="shared" si="291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2"/>
        <v>800</v>
      </c>
      <c r="ZH18" s="68">
        <f t="shared" si="293"/>
        <v>133.33333333333334</v>
      </c>
      <c r="ZI18" s="48"/>
      <c r="ZJ18" s="49"/>
      <c r="ZK18" s="49"/>
      <c r="ZL18" s="49"/>
      <c r="ZM18" s="49"/>
      <c r="ZN18" s="24"/>
      <c r="ZO18" s="67">
        <f t="shared" si="294"/>
        <v>0</v>
      </c>
      <c r="ZP18" s="68">
        <f t="shared" si="295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6"/>
        <v>400</v>
      </c>
      <c r="ZY18" s="68">
        <f t="shared" si="297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8"/>
        <v>400</v>
      </c>
      <c r="AAH18" s="68">
        <f t="shared" si="299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300"/>
        <v>100</v>
      </c>
      <c r="AAP18" s="68">
        <f t="shared" si="301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2"/>
        <v>800</v>
      </c>
      <c r="AAX18" s="68">
        <f t="shared" si="303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4"/>
        <v>197</v>
      </c>
      <c r="ABF18" s="68">
        <f t="shared" si="305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6"/>
        <v>508</v>
      </c>
      <c r="ABN18" s="68">
        <f t="shared" si="307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8"/>
        <v>903</v>
      </c>
      <c r="ABV18" s="68">
        <f t="shared" si="309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10"/>
        <v>102</v>
      </c>
      <c r="ACD18" s="68">
        <f t="shared" si="311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2"/>
        <v>1063</v>
      </c>
      <c r="ACL18" s="68">
        <f t="shared" si="313"/>
        <v>177.16666666666666</v>
      </c>
      <c r="ACM18" s="48"/>
      <c r="ACN18" s="49"/>
      <c r="ACO18" s="49"/>
      <c r="ACP18" s="49"/>
      <c r="ACQ18" s="49"/>
      <c r="ACR18" s="49"/>
      <c r="ACS18" s="67">
        <f t="shared" si="314"/>
        <v>0</v>
      </c>
      <c r="ACT18" s="68">
        <f t="shared" si="315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6"/>
        <v>220</v>
      </c>
      <c r="ADB18" s="68">
        <f t="shared" si="317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8"/>
        <v>521</v>
      </c>
      <c r="ADJ18" s="68">
        <f t="shared" si="319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20"/>
        <v>506</v>
      </c>
      <c r="ADR18" s="68">
        <f t="shared" si="321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2"/>
        <v>660</v>
      </c>
      <c r="ADZ18" s="68">
        <f t="shared" si="323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4"/>
        <v>689</v>
      </c>
      <c r="AEH18" s="68">
        <f t="shared" si="325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6"/>
        <v>220</v>
      </c>
      <c r="AEP18" s="68">
        <f t="shared" si="327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8"/>
        <v>846</v>
      </c>
      <c r="AEX18" s="68">
        <f t="shared" si="329"/>
        <v>141</v>
      </c>
      <c r="AEY18" s="48"/>
      <c r="AEZ18" s="49"/>
      <c r="AFA18" s="49"/>
      <c r="AFB18" s="49"/>
      <c r="AFC18" s="49"/>
      <c r="AFD18" s="49"/>
      <c r="AFE18" s="67">
        <f t="shared" si="330"/>
        <v>0</v>
      </c>
      <c r="AFF18" s="68">
        <f t="shared" si="331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2"/>
        <v>364</v>
      </c>
      <c r="AFN18" s="68">
        <f t="shared" si="333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4"/>
        <v>880</v>
      </c>
      <c r="AFV18" s="68">
        <f t="shared" si="335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6"/>
        <v>545</v>
      </c>
      <c r="AGD18" s="68">
        <f t="shared" si="337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8"/>
        <v>660</v>
      </c>
      <c r="AGL18" s="68">
        <f t="shared" si="339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40"/>
        <v>0</v>
      </c>
      <c r="AGU18" s="68">
        <f t="shared" si="341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2"/>
        <v>660</v>
      </c>
      <c r="AHC18" s="68">
        <f t="shared" si="343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4"/>
        <v>550</v>
      </c>
      <c r="AHK18" s="68">
        <f t="shared" si="345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6"/>
        <v>550</v>
      </c>
      <c r="AHS18" s="68">
        <f t="shared" si="347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8"/>
        <v>660</v>
      </c>
      <c r="AIA18" s="68">
        <f t="shared" si="349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50"/>
        <v>682</v>
      </c>
      <c r="AII18" s="68">
        <f t="shared" si="351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2"/>
        <v>438</v>
      </c>
      <c r="AIQ18" s="68">
        <f t="shared" si="353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4"/>
        <v>330</v>
      </c>
      <c r="AIY18" s="68">
        <f t="shared" si="355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6"/>
        <v>440</v>
      </c>
      <c r="AJG18" s="68">
        <f t="shared" si="357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8"/>
        <v>793</v>
      </c>
      <c r="AJO18" s="43">
        <f t="shared" si="359"/>
        <v>27.344827586206897</v>
      </c>
      <c r="AJP18" s="48"/>
      <c r="AJQ18" s="49"/>
      <c r="AJR18" s="49"/>
      <c r="AJS18" s="49"/>
      <c r="AJT18" s="49"/>
      <c r="AJU18" s="49"/>
      <c r="AJV18" s="42">
        <f t="shared" si="360"/>
        <v>0</v>
      </c>
      <c r="AJW18" s="43">
        <f t="shared" si="361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2"/>
        <v>880</v>
      </c>
      <c r="AKE18" s="68">
        <f t="shared" si="363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4"/>
        <v>725</v>
      </c>
      <c r="AKM18" s="184">
        <f t="shared" si="365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6"/>
        <v>439</v>
      </c>
      <c r="AKU18" s="184">
        <f t="shared" si="367"/>
        <v>73.166666666666671</v>
      </c>
      <c r="AKV18" s="48"/>
      <c r="AKW18" s="49"/>
      <c r="AKX18" s="49"/>
      <c r="AKY18" s="49"/>
      <c r="AKZ18" s="49"/>
      <c r="ALA18" s="49"/>
      <c r="ALB18" s="67">
        <f t="shared" si="368"/>
        <v>0</v>
      </c>
      <c r="ALC18" s="68">
        <f t="shared" si="369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70"/>
        <v>445</v>
      </c>
      <c r="ALK18" s="68">
        <f t="shared" si="371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2"/>
        <v>440</v>
      </c>
      <c r="ALS18" s="68">
        <f t="shared" si="373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4"/>
        <v>440</v>
      </c>
      <c r="AMA18" s="68">
        <f t="shared" si="375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6"/>
        <v>440</v>
      </c>
      <c r="AMI18" s="68">
        <f t="shared" si="377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8"/>
        <v>440</v>
      </c>
      <c r="AMQ18" s="68">
        <f t="shared" si="379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80"/>
        <v>594</v>
      </c>
      <c r="AMY18" s="68">
        <f t="shared" si="381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2"/>
        <v>636</v>
      </c>
      <c r="ANG18" s="68">
        <f t="shared" si="383"/>
        <v>106</v>
      </c>
      <c r="ANH18" s="48"/>
      <c r="ANI18" s="49"/>
      <c r="ANJ18" s="49"/>
      <c r="ANK18" s="49"/>
      <c r="ANL18" s="49"/>
      <c r="ANM18" s="49"/>
      <c r="ANN18" s="67">
        <f t="shared" si="384"/>
        <v>0</v>
      </c>
      <c r="ANO18" s="68">
        <f t="shared" si="385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6"/>
        <v>437</v>
      </c>
      <c r="ANW18" s="68">
        <f t="shared" si="387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8"/>
        <v>897</v>
      </c>
      <c r="AOE18" s="68">
        <f t="shared" si="389"/>
        <v>149.5</v>
      </c>
      <c r="AOF18" s="48"/>
      <c r="AOG18" s="49"/>
      <c r="AOH18" s="49"/>
      <c r="AOI18" s="49"/>
      <c r="AOJ18" s="49"/>
      <c r="AOK18" s="49"/>
      <c r="AOL18" s="67">
        <f t="shared" si="390"/>
        <v>0</v>
      </c>
      <c r="AOM18" s="68">
        <f t="shared" si="391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2"/>
        <v>440</v>
      </c>
      <c r="AOU18" s="68">
        <f t="shared" si="393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4"/>
        <v>772</v>
      </c>
      <c r="APC18" s="68">
        <f t="shared" si="395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6"/>
        <v>551</v>
      </c>
      <c r="APK18" s="68">
        <f t="shared" si="397"/>
        <v>91.833333333333329</v>
      </c>
      <c r="APL18" s="48"/>
      <c r="APM18" s="49"/>
      <c r="APN18" s="49"/>
      <c r="APO18" s="49"/>
      <c r="APP18" s="49"/>
      <c r="APQ18" s="49"/>
      <c r="APR18" s="67">
        <f t="shared" si="398"/>
        <v>0</v>
      </c>
      <c r="APS18" s="68">
        <f t="shared" si="399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400"/>
        <v>660</v>
      </c>
      <c r="AQA18" s="68">
        <f t="shared" si="401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2"/>
        <v>660</v>
      </c>
      <c r="AQI18" s="68">
        <f t="shared" si="403"/>
        <v>110</v>
      </c>
      <c r="AQJ18" s="48"/>
      <c r="AQK18" s="49"/>
      <c r="AQL18" s="49"/>
      <c r="AQM18" s="49"/>
      <c r="AQN18" s="49"/>
      <c r="AQO18" s="49"/>
      <c r="AQP18" s="67">
        <f t="shared" si="404"/>
        <v>0</v>
      </c>
      <c r="AQQ18" s="68">
        <f t="shared" si="405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6"/>
        <v>440</v>
      </c>
      <c r="AQY18" s="68">
        <f t="shared" si="407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8"/>
        <v>440</v>
      </c>
      <c r="ARG18" s="68">
        <f t="shared" si="409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10"/>
        <v>439</v>
      </c>
      <c r="ARO18" s="68">
        <f t="shared" si="411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2"/>
        <v>198</v>
      </c>
      <c r="ARW18" s="68">
        <f t="shared" si="413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4"/>
        <v>397</v>
      </c>
      <c r="ASE18" s="68">
        <f t="shared" si="415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6"/>
        <v>439</v>
      </c>
      <c r="ASM18" s="68">
        <f t="shared" si="417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8"/>
        <v>220</v>
      </c>
      <c r="ASU18" s="68">
        <f t="shared" si="419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20"/>
        <v>665</v>
      </c>
      <c r="ATC18" s="68">
        <f t="shared" si="421"/>
        <v>110.83333333333333</v>
      </c>
      <c r="ATD18" s="48"/>
      <c r="ATE18" s="49"/>
      <c r="ATF18" s="49"/>
      <c r="ATG18" s="49"/>
      <c r="ATH18" s="49"/>
      <c r="ATI18" s="49"/>
      <c r="ATJ18" s="67">
        <f t="shared" si="422"/>
        <v>0</v>
      </c>
      <c r="ATK18" s="68">
        <f t="shared" si="423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4"/>
        <v>449</v>
      </c>
      <c r="ATS18" s="68">
        <f t="shared" si="425"/>
        <v>74.833333333333329</v>
      </c>
      <c r="ATT18" s="48"/>
      <c r="ATU18" s="49"/>
      <c r="ATV18" s="49"/>
      <c r="ATW18" s="49"/>
      <c r="ATX18" s="49"/>
      <c r="ATY18" s="49"/>
      <c r="ATZ18" s="67">
        <f t="shared" si="426"/>
        <v>0</v>
      </c>
      <c r="AUA18" s="68">
        <f t="shared" si="427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8"/>
        <v>660</v>
      </c>
      <c r="AUI18" s="68">
        <f t="shared" si="429"/>
        <v>110</v>
      </c>
      <c r="AUJ18" s="48"/>
      <c r="AUK18" s="49"/>
      <c r="AUL18" s="49"/>
      <c r="AUM18" s="49"/>
      <c r="AUN18" s="49"/>
      <c r="AUO18" s="49"/>
      <c r="AUP18" s="67">
        <f t="shared" si="430"/>
        <v>0</v>
      </c>
      <c r="AUQ18" s="68">
        <f t="shared" si="431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2"/>
        <v>220</v>
      </c>
      <c r="AUY18" s="68">
        <f t="shared" si="433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4"/>
        <v>478</v>
      </c>
      <c r="AVG18" s="68">
        <f t="shared" si="435"/>
        <v>79.666666666666671</v>
      </c>
      <c r="AVH18" s="48"/>
      <c r="AVI18" s="49"/>
      <c r="AVJ18" s="49"/>
      <c r="AVK18" s="49"/>
      <c r="AVL18" s="49"/>
      <c r="AVM18" s="49"/>
      <c r="AVN18" s="67">
        <f t="shared" si="436"/>
        <v>0</v>
      </c>
      <c r="AVO18" s="68">
        <f t="shared" si="437"/>
        <v>0</v>
      </c>
      <c r="AVP18" s="48"/>
      <c r="AVQ18" s="49"/>
      <c r="AVR18" s="49"/>
      <c r="AVS18" s="49"/>
      <c r="AVT18" s="49"/>
      <c r="AVU18" s="49"/>
      <c r="AVV18" s="67">
        <f t="shared" si="438"/>
        <v>0</v>
      </c>
      <c r="AVW18" s="68">
        <f t="shared" si="439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40"/>
        <v>418</v>
      </c>
      <c r="AWE18" s="68">
        <f t="shared" si="441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2"/>
        <v>550</v>
      </c>
      <c r="AWM18" s="68">
        <f t="shared" si="443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4"/>
        <v>440</v>
      </c>
      <c r="AWU18" s="43">
        <f t="shared" si="445"/>
        <v>73.333333333333329</v>
      </c>
      <c r="AWV18" s="48"/>
      <c r="AWW18" s="49"/>
      <c r="AWX18" s="49"/>
      <c r="AWY18" s="49"/>
      <c r="AWZ18" s="49"/>
      <c r="AXA18" s="49"/>
      <c r="AXB18" s="42">
        <f t="shared" si="446"/>
        <v>0</v>
      </c>
      <c r="AXC18" s="43">
        <f t="shared" si="447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8"/>
        <v>420</v>
      </c>
      <c r="AXK18" s="43">
        <f t="shared" si="449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50"/>
        <v>879</v>
      </c>
      <c r="AXS18" s="43">
        <f t="shared" si="451"/>
        <v>146.5</v>
      </c>
      <c r="AXT18" s="48"/>
      <c r="AXU18" s="49"/>
      <c r="AXV18" s="49"/>
      <c r="AXW18" s="49"/>
      <c r="AXX18" s="49"/>
      <c r="AXY18" s="49"/>
      <c r="AXZ18" s="42">
        <f t="shared" si="452"/>
        <v>0</v>
      </c>
      <c r="AYA18" s="43">
        <f t="shared" si="453"/>
        <v>0</v>
      </c>
      <c r="AYB18" s="48"/>
      <c r="AYC18" s="49"/>
      <c r="AYD18" s="49"/>
      <c r="AYE18" s="49"/>
      <c r="AYF18" s="49"/>
      <c r="AYG18" s="49"/>
      <c r="AYH18" s="42">
        <f t="shared" si="454"/>
        <v>0</v>
      </c>
      <c r="AYI18" s="43">
        <f t="shared" si="455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6"/>
        <v>473</v>
      </c>
      <c r="AYQ18" s="43">
        <f t="shared" si="457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8"/>
        <v>308</v>
      </c>
      <c r="AYY18" s="43">
        <f t="shared" si="459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60"/>
        <v>440</v>
      </c>
      <c r="AZG18" s="43">
        <f t="shared" si="461"/>
        <v>73.333333333333329</v>
      </c>
      <c r="AZH18" s="48"/>
      <c r="AZI18" s="49"/>
      <c r="AZJ18" s="49"/>
      <c r="AZK18" s="49"/>
      <c r="AZL18" s="49"/>
      <c r="AZM18" s="49"/>
      <c r="AZN18" s="42">
        <f t="shared" si="462"/>
        <v>0</v>
      </c>
      <c r="AZO18" s="43">
        <f t="shared" si="463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4"/>
        <v>871</v>
      </c>
      <c r="AZW18" s="43">
        <f t="shared" si="465"/>
        <v>145.16666666666666</v>
      </c>
      <c r="AZX18" s="82"/>
      <c r="AZY18" s="83"/>
      <c r="AZZ18" s="83"/>
      <c r="BAA18" s="83"/>
      <c r="BAB18" s="83"/>
      <c r="BAC18" s="83"/>
      <c r="BAD18" s="42">
        <f t="shared" si="466"/>
        <v>0</v>
      </c>
      <c r="BAE18" s="43">
        <f t="shared" si="467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8"/>
        <v>220</v>
      </c>
      <c r="BAM18" s="43">
        <f t="shared" si="469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70"/>
        <v>197</v>
      </c>
      <c r="BAU18" s="43">
        <f t="shared" si="471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2"/>
        <v>631</v>
      </c>
      <c r="BBC18" s="43">
        <f t="shared" si="473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4"/>
        <v>334</v>
      </c>
      <c r="BBK18" s="43">
        <f t="shared" si="475"/>
        <v>55.666666666666664</v>
      </c>
      <c r="BBL18" s="48"/>
      <c r="BBM18" s="49"/>
      <c r="BBN18" s="49"/>
      <c r="BBO18" s="49"/>
      <c r="BBP18" s="49"/>
      <c r="BBQ18" s="49"/>
      <c r="BBR18" s="42">
        <f t="shared" si="476"/>
        <v>0</v>
      </c>
      <c r="BBS18" s="43">
        <f t="shared" si="477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8"/>
        <v>403</v>
      </c>
      <c r="BCA18" s="43">
        <f t="shared" si="479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80"/>
        <v>110</v>
      </c>
      <c r="BCI18" s="43">
        <f t="shared" si="481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2"/>
        <v>415</v>
      </c>
      <c r="BCQ18" s="43">
        <f t="shared" si="483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4"/>
        <v>458</v>
      </c>
      <c r="BCY18" s="43">
        <f t="shared" si="485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6"/>
        <v>440</v>
      </c>
      <c r="BDG18" s="43">
        <f t="shared" si="487"/>
        <v>73.333333333333329</v>
      </c>
      <c r="BDH18" s="48"/>
      <c r="BDI18" s="49"/>
      <c r="BDJ18" s="49"/>
      <c r="BDK18" s="49"/>
      <c r="BDL18" s="49"/>
      <c r="BDM18" s="49"/>
      <c r="BDN18" s="42">
        <f t="shared" si="488"/>
        <v>0</v>
      </c>
      <c r="BDO18" s="43">
        <f t="shared" si="489"/>
        <v>0</v>
      </c>
      <c r="BDP18" s="48"/>
      <c r="BDQ18" s="49"/>
      <c r="BDR18" s="49"/>
      <c r="BDS18" s="49"/>
      <c r="BDT18" s="49"/>
      <c r="BDU18" s="49"/>
      <c r="BDV18" s="42">
        <f t="shared" si="490"/>
        <v>0</v>
      </c>
      <c r="BDW18" s="43">
        <f t="shared" si="491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2"/>
        <v>569</v>
      </c>
      <c r="BEE18" s="43">
        <f t="shared" si="493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4"/>
        <v>392</v>
      </c>
      <c r="BEM18" s="43">
        <f t="shared" si="495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6"/>
        <v>440</v>
      </c>
      <c r="BEU18" s="43">
        <f t="shared" si="497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8"/>
        <v>111</v>
      </c>
      <c r="BFC18" s="43">
        <f t="shared" si="499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500"/>
        <v>220</v>
      </c>
      <c r="BFK18" s="43">
        <f t="shared" si="501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2"/>
        <v>338</v>
      </c>
      <c r="BFS18" s="43">
        <f t="shared" si="503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4"/>
        <v>531</v>
      </c>
      <c r="BGA18" s="43">
        <f t="shared" si="505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6"/>
        <v>330</v>
      </c>
      <c r="BGI18" s="43">
        <f t="shared" si="507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8"/>
        <v>220</v>
      </c>
      <c r="BGQ18" s="43">
        <f t="shared" si="509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10"/>
        <v>440</v>
      </c>
      <c r="BGY18" s="43">
        <f t="shared" si="511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2"/>
        <v>226</v>
      </c>
      <c r="BHG18" s="43">
        <f t="shared" si="513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4"/>
        <v>658</v>
      </c>
      <c r="BHO18" s="43">
        <f t="shared" si="515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6"/>
        <v>220</v>
      </c>
      <c r="BHW18" s="43">
        <f t="shared" si="517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8"/>
        <v>220</v>
      </c>
      <c r="BIE18" s="43">
        <f t="shared" si="519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20"/>
        <v>440</v>
      </c>
      <c r="BIM18" s="43">
        <f t="shared" si="521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2"/>
        <v>84</v>
      </c>
      <c r="BIU18" s="43">
        <f t="shared" si="523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4"/>
        <v>670</v>
      </c>
      <c r="BJC18" s="43">
        <f t="shared" si="525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6"/>
        <v>221</v>
      </c>
      <c r="BJK18" s="43">
        <f t="shared" si="527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8"/>
        <v>380</v>
      </c>
      <c r="BJS18" s="43">
        <f t="shared" si="529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30"/>
        <v>220</v>
      </c>
      <c r="BKA18" s="43">
        <f t="shared" si="531"/>
        <v>44</v>
      </c>
      <c r="BKB18" s="48"/>
      <c r="BKC18" s="49"/>
      <c r="BKD18" s="49"/>
      <c r="BKE18" s="49"/>
      <c r="BKF18" s="49"/>
      <c r="BKG18" s="49"/>
      <c r="BKH18" s="67">
        <f t="shared" si="532"/>
        <v>0</v>
      </c>
      <c r="BKI18" s="68">
        <f t="shared" si="533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4"/>
        <v>310</v>
      </c>
      <c r="BKQ18" s="43">
        <f t="shared" si="535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6"/>
        <v>231</v>
      </c>
      <c r="BKY18" s="43">
        <f t="shared" si="537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8"/>
        <v>440</v>
      </c>
      <c r="BLG18" s="43">
        <f t="shared" si="539"/>
        <v>73.333333333333329</v>
      </c>
      <c r="BLH18" s="48"/>
      <c r="BLI18" s="49"/>
      <c r="BLJ18" s="49"/>
      <c r="BLK18" s="49"/>
      <c r="BLL18" s="49"/>
      <c r="BLM18" s="49"/>
      <c r="BLN18" s="42">
        <f t="shared" si="540"/>
        <v>0</v>
      </c>
      <c r="BLO18" s="43">
        <f t="shared" si="541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2"/>
        <v>330</v>
      </c>
      <c r="BLW18" s="43">
        <f t="shared" si="543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4"/>
        <v>336</v>
      </c>
      <c r="BME18" s="43">
        <f t="shared" si="545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6"/>
        <v>459</v>
      </c>
      <c r="BMM18" s="43">
        <f t="shared" si="547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8"/>
        <v>327</v>
      </c>
      <c r="BMU18" s="43">
        <f t="shared" si="549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50"/>
        <v>328</v>
      </c>
      <c r="BNC18" s="43">
        <f t="shared" si="551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2"/>
        <v>330</v>
      </c>
      <c r="BNK18" s="43">
        <f t="shared" si="553"/>
        <v>55</v>
      </c>
      <c r="BNL18" s="48"/>
      <c r="BNM18" s="49"/>
      <c r="BNN18" s="49"/>
      <c r="BNO18" s="49"/>
      <c r="BNP18" s="49"/>
      <c r="BNQ18" s="49"/>
      <c r="BNR18" s="42">
        <f t="shared" si="554"/>
        <v>0</v>
      </c>
      <c r="BNS18" s="43">
        <f t="shared" si="555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6"/>
        <v>864</v>
      </c>
      <c r="BOA18" s="43">
        <f t="shared" si="557"/>
        <v>144</v>
      </c>
      <c r="BOB18" s="48"/>
      <c r="BOC18" s="49"/>
      <c r="BOD18" s="49"/>
      <c r="BOE18" s="49"/>
      <c r="BOF18" s="49"/>
      <c r="BOG18" s="49"/>
      <c r="BOH18" s="42">
        <f t="shared" si="558"/>
        <v>0</v>
      </c>
      <c r="BOI18" s="43">
        <f t="shared" si="559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60"/>
        <v>110</v>
      </c>
      <c r="BOQ18" s="43">
        <f t="shared" si="561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2"/>
        <v>439</v>
      </c>
      <c r="BOY18" s="43">
        <f t="shared" si="563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4"/>
        <v>634</v>
      </c>
      <c r="BPG18" s="43">
        <f t="shared" si="565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6"/>
        <v>444</v>
      </c>
      <c r="BPO18" s="43">
        <f t="shared" si="567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8"/>
        <v>108</v>
      </c>
      <c r="BPW18" s="43">
        <f t="shared" si="569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70"/>
        <v>700</v>
      </c>
      <c r="BQE18" s="43">
        <f t="shared" si="571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2"/>
        <v>763</v>
      </c>
      <c r="BQM18" s="43">
        <f t="shared" si="573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4"/>
        <v>219</v>
      </c>
      <c r="BQU18" s="43">
        <f t="shared" si="575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6"/>
        <v>210</v>
      </c>
      <c r="BRC18" s="43">
        <f t="shared" si="577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8"/>
        <v>226</v>
      </c>
      <c r="BRK18" s="43">
        <f t="shared" si="579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80"/>
        <v>770</v>
      </c>
      <c r="BRS18" s="68">
        <f t="shared" si="581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2"/>
        <v>626</v>
      </c>
      <c r="BSA18" s="43">
        <f t="shared" si="583"/>
        <v>104.33333333333333</v>
      </c>
      <c r="BSB18" s="63"/>
      <c r="BSC18" s="64"/>
      <c r="BSD18" s="64"/>
      <c r="BSE18" s="64"/>
      <c r="BSF18" s="64"/>
      <c r="BSG18" s="64"/>
      <c r="BSH18" s="67">
        <f t="shared" si="584"/>
        <v>0</v>
      </c>
      <c r="BSI18" s="43">
        <f t="shared" si="585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6"/>
        <v>537</v>
      </c>
      <c r="BSQ18" s="43">
        <f t="shared" si="587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8"/>
        <v>1104</v>
      </c>
      <c r="BSY18" s="43">
        <f t="shared" si="589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90"/>
        <v>550</v>
      </c>
      <c r="BTG18" s="43">
        <f t="shared" si="591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2"/>
        <v>225</v>
      </c>
      <c r="BTO18" s="68">
        <f t="shared" si="593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4"/>
        <v>332</v>
      </c>
      <c r="BTW18" s="43">
        <f t="shared" si="595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6"/>
        <v>321</v>
      </c>
      <c r="BUE18" s="68">
        <f t="shared" si="597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8"/>
        <v>662</v>
      </c>
      <c r="BUM18" s="68">
        <f t="shared" si="599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600"/>
        <v>616</v>
      </c>
      <c r="BUU18" s="68">
        <f t="shared" si="601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2"/>
        <v>222</v>
      </c>
      <c r="BVC18" s="68">
        <f t="shared" si="603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4"/>
        <v>499</v>
      </c>
      <c r="BVK18" s="68">
        <f t="shared" si="605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6"/>
        <v>442</v>
      </c>
      <c r="BVS18" s="68">
        <f t="shared" si="607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8"/>
        <v>440</v>
      </c>
      <c r="BWA18" s="68">
        <f t="shared" si="609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10"/>
        <v>112</v>
      </c>
      <c r="BWI18" s="68">
        <f t="shared" si="611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2"/>
        <v>770</v>
      </c>
      <c r="BWQ18" s="68">
        <f t="shared" si="613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4"/>
        <v>436</v>
      </c>
      <c r="BWY18" s="68">
        <f t="shared" si="615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6"/>
        <v>437</v>
      </c>
      <c r="BXG18" s="68">
        <f t="shared" si="617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8"/>
        <v>991</v>
      </c>
      <c r="BXO18" s="68">
        <f t="shared" si="619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20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21"/>
        <v>280</v>
      </c>
      <c r="BYE18" s="68">
        <f t="shared" si="622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3"/>
        <v>400</v>
      </c>
      <c r="BYM18" s="68">
        <f t="shared" si="624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5"/>
        <v>409</v>
      </c>
      <c r="BYU18" s="68">
        <f t="shared" si="626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7"/>
        <v>731</v>
      </c>
      <c r="BZC18" s="68">
        <f t="shared" si="628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9"/>
        <v>514</v>
      </c>
      <c r="BZK18" s="68">
        <f t="shared" si="630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31"/>
        <v>441</v>
      </c>
      <c r="BZS18" s="68">
        <f t="shared" si="632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3"/>
        <v>312</v>
      </c>
      <c r="CAA18" s="68">
        <f t="shared" si="634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5"/>
        <v>300</v>
      </c>
      <c r="CAI18" s="68">
        <f t="shared" si="636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7"/>
        <v>471</v>
      </c>
      <c r="CAQ18" s="68">
        <f t="shared" si="638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9"/>
        <v>220</v>
      </c>
      <c r="CAY18" s="68">
        <f t="shared" si="640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41"/>
        <v>327</v>
      </c>
      <c r="CBG18" s="68">
        <f t="shared" si="642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3"/>
        <v>552</v>
      </c>
      <c r="CBO18" s="68">
        <f t="shared" si="644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5"/>
        <v>661</v>
      </c>
      <c r="CBW18" s="68">
        <f t="shared" si="646"/>
        <v>110.16666666666667</v>
      </c>
      <c r="CBX18" s="48"/>
      <c r="CBY18" s="49"/>
      <c r="CBZ18" s="49"/>
      <c r="CCA18" s="49"/>
      <c r="CCB18" s="49"/>
      <c r="CCC18" s="49"/>
      <c r="CCD18" s="67">
        <f t="shared" si="647"/>
        <v>0</v>
      </c>
      <c r="CCE18" s="68">
        <f t="shared" si="648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9"/>
        <v>549</v>
      </c>
      <c r="CCM18" s="68">
        <f t="shared" si="650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51"/>
        <v>329</v>
      </c>
      <c r="CCU18" s="68">
        <f t="shared" si="652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3"/>
        <v>880</v>
      </c>
      <c r="CDC18" s="68">
        <f t="shared" si="654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5"/>
        <v>400</v>
      </c>
      <c r="CDK18" s="68">
        <f t="shared" si="656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7"/>
        <v>585</v>
      </c>
      <c r="CDS18" s="68">
        <f t="shared" si="658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9"/>
        <v>467</v>
      </c>
      <c r="CEA18" s="68">
        <f t="shared" si="660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61"/>
        <v>454</v>
      </c>
      <c r="CEI18" s="68">
        <f t="shared" si="662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3"/>
        <v>440</v>
      </c>
      <c r="CEQ18" s="68">
        <f t="shared" si="664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5"/>
        <v>645</v>
      </c>
      <c r="CEY18" s="68">
        <f t="shared" si="666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7"/>
        <v>440</v>
      </c>
      <c r="CFG18" s="68">
        <f t="shared" si="668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9"/>
        <v>768</v>
      </c>
      <c r="CFO18" s="68">
        <f t="shared" si="670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71"/>
        <v>420</v>
      </c>
      <c r="CFW18" s="68">
        <f t="shared" si="672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3"/>
        <v>429</v>
      </c>
      <c r="CGE18" s="68">
        <f t="shared" si="674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5"/>
        <v>868</v>
      </c>
      <c r="CGM18" s="68">
        <f t="shared" si="676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7"/>
        <v>291</v>
      </c>
      <c r="CGU18" s="68">
        <f t="shared" si="678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9"/>
        <v>434</v>
      </c>
      <c r="CHC18" s="68">
        <f t="shared" si="680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81"/>
        <v>439</v>
      </c>
      <c r="CHK18" s="68">
        <f t="shared" si="682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3"/>
        <v>440</v>
      </c>
      <c r="CHS18" s="68">
        <f t="shared" si="684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5"/>
        <v>479</v>
      </c>
      <c r="CIA18" s="68">
        <f t="shared" si="686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7"/>
        <v>469</v>
      </c>
      <c r="CII18" s="68">
        <f t="shared" si="688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9"/>
        <v>891</v>
      </c>
      <c r="CIQ18" s="68">
        <f t="shared" si="690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91"/>
        <v>547</v>
      </c>
      <c r="CIY18" s="68">
        <f t="shared" si="692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3"/>
        <v>440</v>
      </c>
      <c r="CJG18" s="68">
        <f t="shared" si="1206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4"/>
        <v>320</v>
      </c>
      <c r="CJO18" s="68">
        <f t="shared" si="695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6"/>
        <v>441</v>
      </c>
      <c r="CJW18" s="68">
        <f t="shared" si="697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8"/>
        <v>440</v>
      </c>
      <c r="CKE18" s="68">
        <f t="shared" si="699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700"/>
        <v>658</v>
      </c>
      <c r="CKM18" s="68">
        <f t="shared" si="701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2"/>
        <v>508</v>
      </c>
      <c r="CKU18" s="68">
        <f t="shared" si="703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4"/>
        <v>223</v>
      </c>
      <c r="CLC18" s="68">
        <f t="shared" si="705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6"/>
        <v>325</v>
      </c>
      <c r="CLK18" s="68">
        <f t="shared" si="707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8"/>
        <v>660</v>
      </c>
      <c r="CLS18" s="68">
        <f t="shared" si="709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10"/>
        <v>660</v>
      </c>
      <c r="CMA18" s="68">
        <f t="shared" si="711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2"/>
        <v>229</v>
      </c>
      <c r="CMI18" s="68">
        <f t="shared" si="713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4"/>
        <v>326</v>
      </c>
      <c r="CMQ18" s="68">
        <f t="shared" si="715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6"/>
        <v>440</v>
      </c>
      <c r="CMY18" s="68">
        <f t="shared" si="717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8"/>
        <v>329</v>
      </c>
      <c r="CNG18" s="68">
        <f t="shared" si="719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20"/>
        <v>442</v>
      </c>
      <c r="CNO18" s="68">
        <f t="shared" si="721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2"/>
        <v>330</v>
      </c>
      <c r="CNW18" s="68">
        <f t="shared" si="723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4"/>
        <v>550</v>
      </c>
      <c r="COE18" s="68">
        <f t="shared" si="725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6"/>
        <v>319</v>
      </c>
      <c r="COM18" s="68">
        <f t="shared" si="727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8"/>
        <v>332</v>
      </c>
      <c r="COU18" s="68">
        <f t="shared" si="729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30"/>
        <v>333</v>
      </c>
      <c r="CPC18" s="68">
        <f t="shared" si="731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2"/>
        <v>218</v>
      </c>
      <c r="CPK18" s="68">
        <f t="shared" si="733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4"/>
        <v>110</v>
      </c>
      <c r="CPS18" s="68">
        <f t="shared" si="735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6"/>
        <v>262</v>
      </c>
      <c r="CQA18" s="68">
        <f t="shared" si="737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8"/>
        <v>324</v>
      </c>
      <c r="CQI18" s="68">
        <f t="shared" si="739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40"/>
        <v>468</v>
      </c>
      <c r="CQQ18" s="68">
        <f t="shared" si="741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2"/>
        <v>110</v>
      </c>
      <c r="CQY18" s="68">
        <f t="shared" si="743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4"/>
        <v>325</v>
      </c>
      <c r="CRG18" s="68">
        <f t="shared" si="745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6"/>
        <v>331</v>
      </c>
      <c r="CRO18" s="68">
        <f t="shared" si="747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8"/>
        <v>351</v>
      </c>
      <c r="CRW18" s="68">
        <f t="shared" si="749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50"/>
        <v>331</v>
      </c>
      <c r="CSE18" s="68">
        <f t="shared" si="751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2"/>
        <v>218</v>
      </c>
      <c r="CSM18" s="68">
        <f t="shared" si="753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4"/>
        <v>221</v>
      </c>
      <c r="CSU18" s="68">
        <f t="shared" si="755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6"/>
        <v>345</v>
      </c>
      <c r="CTC18" s="68">
        <f t="shared" si="757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8"/>
        <v>220</v>
      </c>
      <c r="CTK18" s="68">
        <f t="shared" si="759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60"/>
        <v>219</v>
      </c>
      <c r="CTS18" s="68">
        <f t="shared" si="761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2"/>
        <v>330</v>
      </c>
      <c r="CUA18" s="68">
        <f t="shared" si="763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4"/>
        <v>212</v>
      </c>
      <c r="CUI18" s="68">
        <f t="shared" si="765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6"/>
        <v>372</v>
      </c>
      <c r="CUQ18" s="68">
        <f t="shared" si="767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8"/>
        <v>219</v>
      </c>
      <c r="CUY18" s="68">
        <f t="shared" si="769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70"/>
        <v>0</v>
      </c>
      <c r="CVG18" s="68">
        <f t="shared" si="771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2"/>
        <v>372</v>
      </c>
      <c r="CVO18" s="68">
        <f t="shared" si="773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4"/>
        <v>338</v>
      </c>
      <c r="CVW18" s="68">
        <f t="shared" si="775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6"/>
        <v>220</v>
      </c>
      <c r="CWE18" s="68">
        <f t="shared" si="777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8"/>
        <v>117</v>
      </c>
      <c r="CWM18" s="68">
        <f t="shared" si="779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80"/>
        <v>332</v>
      </c>
      <c r="CWU18" s="68">
        <f t="shared" si="781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2"/>
        <v>331</v>
      </c>
      <c r="CXC18" s="43">
        <f t="shared" si="783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4"/>
        <v>219</v>
      </c>
      <c r="CXK18" s="43">
        <f t="shared" si="785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6"/>
        <v>332</v>
      </c>
      <c r="CXS18" s="43">
        <f t="shared" si="787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8"/>
        <v>440</v>
      </c>
      <c r="CYA18" s="43">
        <f t="shared" si="789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90"/>
        <v>220</v>
      </c>
      <c r="CYI18" s="43">
        <f t="shared" si="791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2"/>
        <v>221</v>
      </c>
      <c r="CYQ18" s="43">
        <f t="shared" si="793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4"/>
        <v>220</v>
      </c>
      <c r="CYY18" s="43">
        <f t="shared" si="795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6"/>
        <v>220</v>
      </c>
      <c r="CZG18" s="43">
        <f t="shared" si="797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8"/>
        <v>110</v>
      </c>
      <c r="CZO18" s="43">
        <f t="shared" si="799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800"/>
        <v>220</v>
      </c>
      <c r="CZW18" s="43">
        <f t="shared" si="801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2"/>
        <v>329</v>
      </c>
      <c r="DAE18" s="68">
        <f t="shared" si="803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4"/>
        <v>330</v>
      </c>
      <c r="DAM18" s="68">
        <f t="shared" si="805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6"/>
        <v>224</v>
      </c>
      <c r="DAU18" s="68">
        <f t="shared" si="807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8"/>
        <v>117</v>
      </c>
      <c r="DBC18" s="68">
        <f t="shared" si="809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10"/>
        <v>338</v>
      </c>
      <c r="DBK18" s="68">
        <f t="shared" si="811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2"/>
        <v>0</v>
      </c>
      <c r="DBS18" s="68">
        <f t="shared" si="813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4"/>
        <v>340</v>
      </c>
      <c r="DCA18" s="68">
        <f t="shared" si="815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6"/>
        <v>333</v>
      </c>
      <c r="DCI18" s="68">
        <f t="shared" si="817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8"/>
        <v>221</v>
      </c>
      <c r="DCQ18" s="68">
        <f t="shared" si="819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20"/>
        <v>218</v>
      </c>
      <c r="DCY18" s="68">
        <f t="shared" si="821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2"/>
        <v>221</v>
      </c>
      <c r="DDG18" s="68">
        <f t="shared" si="823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4"/>
        <v>306</v>
      </c>
      <c r="DDO18" s="43">
        <f t="shared" si="825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6"/>
        <v>0</v>
      </c>
      <c r="DDW18" s="43">
        <f t="shared" si="827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8"/>
        <v>220</v>
      </c>
      <c r="DEE18" s="43">
        <f t="shared" si="829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30"/>
        <v>331</v>
      </c>
      <c r="DEM18" s="43">
        <f t="shared" si="831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2"/>
        <v>0</v>
      </c>
      <c r="DEU18" s="43">
        <f t="shared" si="833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4"/>
        <v>330</v>
      </c>
      <c r="DFC18" s="43">
        <f t="shared" si="835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6"/>
        <v>110</v>
      </c>
      <c r="DFK18" s="43">
        <f t="shared" si="837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8"/>
        <v>330</v>
      </c>
      <c r="DFS18" s="68">
        <f t="shared" si="839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40"/>
        <v>0</v>
      </c>
      <c r="DGA18" s="43">
        <f t="shared" si="841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2"/>
        <v>329</v>
      </c>
      <c r="DGI18" s="43">
        <f t="shared" si="843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4"/>
        <v>81</v>
      </c>
      <c r="DGQ18" s="68">
        <f t="shared" si="845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6"/>
        <v>0</v>
      </c>
      <c r="DGY18" s="68">
        <f t="shared" si="847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8"/>
        <v>330</v>
      </c>
      <c r="DHG18" s="68">
        <f t="shared" si="849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50"/>
        <v>135</v>
      </c>
      <c r="DHO18" s="68">
        <f t="shared" si="851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2"/>
        <v>220</v>
      </c>
      <c r="DHW18" s="68">
        <f t="shared" si="853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4"/>
        <v>0</v>
      </c>
      <c r="DIE18" s="68">
        <f t="shared" si="855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6"/>
        <v>220</v>
      </c>
      <c r="DIM18" s="68">
        <f t="shared" si="857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8"/>
        <v>219</v>
      </c>
      <c r="DIU18" s="68">
        <f t="shared" si="859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60"/>
        <v>110</v>
      </c>
      <c r="DJC18" s="68">
        <f t="shared" si="861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2"/>
        <v>0</v>
      </c>
      <c r="DJK18" s="68">
        <f t="shared" si="863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4"/>
        <v>409</v>
      </c>
      <c r="DJS18" s="68">
        <f t="shared" si="865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6"/>
        <v>0</v>
      </c>
      <c r="DKA18" s="68">
        <f t="shared" si="867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8"/>
        <v>224</v>
      </c>
      <c r="DKI18" s="68">
        <f t="shared" si="869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70"/>
        <v>111</v>
      </c>
      <c r="DKQ18" s="68">
        <f t="shared" si="871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2"/>
        <v>331</v>
      </c>
      <c r="DKY18" s="68">
        <f t="shared" si="873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4"/>
        <v>0</v>
      </c>
      <c r="DLG18" s="68">
        <f t="shared" si="875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6"/>
        <v>219</v>
      </c>
      <c r="DLO18" s="68">
        <f t="shared" si="877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8"/>
        <v>215</v>
      </c>
      <c r="DLW18" s="68">
        <f t="shared" si="879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80"/>
        <v>0</v>
      </c>
      <c r="DME18" s="68">
        <f t="shared" si="881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2"/>
        <v>223</v>
      </c>
      <c r="DMM18" s="68">
        <f t="shared" si="883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4"/>
        <v>221</v>
      </c>
      <c r="DMU18" s="68">
        <f t="shared" si="885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6"/>
        <v>109</v>
      </c>
      <c r="DNC18" s="68">
        <f t="shared" si="887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8"/>
        <v>220</v>
      </c>
      <c r="DNK18" s="68">
        <f t="shared" si="889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90"/>
        <v>110</v>
      </c>
      <c r="DNS18" s="68">
        <f t="shared" si="891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2"/>
        <v>110</v>
      </c>
      <c r="DOA18" s="68">
        <f t="shared" si="893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4"/>
        <v>220</v>
      </c>
      <c r="DOI18" s="68">
        <f t="shared" si="895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6"/>
        <v>220</v>
      </c>
      <c r="DOQ18" s="68">
        <f t="shared" si="897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8"/>
        <v>219</v>
      </c>
      <c r="DOY18" s="68">
        <f t="shared" si="899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900"/>
        <v>0</v>
      </c>
      <c r="DPG18" s="68">
        <f t="shared" si="901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2"/>
        <v>109</v>
      </c>
      <c r="DPO18" s="68">
        <f t="shared" si="903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4"/>
        <v>0</v>
      </c>
      <c r="DPW18" s="492">
        <f t="shared" si="905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6"/>
        <v>220</v>
      </c>
      <c r="DQE18" s="492">
        <f t="shared" si="907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8"/>
        <v>189</v>
      </c>
      <c r="DQM18" s="492">
        <f t="shared" si="909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10"/>
        <v>110</v>
      </c>
      <c r="DQU18" s="68">
        <f t="shared" si="911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2"/>
        <v>220</v>
      </c>
      <c r="DRC18" s="492">
        <f t="shared" si="913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4"/>
        <v>319</v>
      </c>
      <c r="DRK18" s="492">
        <f t="shared" si="915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6"/>
        <v>0</v>
      </c>
      <c r="DRS18" s="68">
        <f t="shared" si="917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8"/>
        <v>110</v>
      </c>
      <c r="DSA18" s="68">
        <f t="shared" si="919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20"/>
        <v>220</v>
      </c>
      <c r="DSI18" s="68">
        <f t="shared" si="921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2"/>
        <v>220</v>
      </c>
      <c r="DSQ18" s="68">
        <f t="shared" si="923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4"/>
        <v>110</v>
      </c>
      <c r="DSY18" s="68">
        <f t="shared" si="925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6"/>
        <v>221</v>
      </c>
      <c r="DTG18" s="68">
        <f t="shared" si="927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8"/>
        <v>312</v>
      </c>
      <c r="DTO18" s="68">
        <f t="shared" si="929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30"/>
        <v>220</v>
      </c>
      <c r="DTW18" s="68">
        <f t="shared" si="931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2"/>
        <v>218</v>
      </c>
      <c r="DUE18" s="68">
        <f t="shared" si="933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4"/>
        <v>0</v>
      </c>
      <c r="DUM18" s="68">
        <f t="shared" si="935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6"/>
        <v>216</v>
      </c>
      <c r="DUU18" s="184">
        <f t="shared" si="937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8"/>
        <v>110</v>
      </c>
      <c r="DVC18" s="68">
        <f t="shared" si="939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40"/>
        <v>220</v>
      </c>
      <c r="DVK18" s="68">
        <f t="shared" si="941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2"/>
        <v>220</v>
      </c>
      <c r="DVS18" s="68">
        <f t="shared" si="943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4"/>
        <v>111</v>
      </c>
      <c r="DWA18" s="68">
        <f t="shared" si="945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6"/>
        <v>220</v>
      </c>
      <c r="DWI18" s="68">
        <f t="shared" si="947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8"/>
        <v>101</v>
      </c>
      <c r="DWQ18" s="68">
        <f t="shared" si="949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50"/>
        <v>0</v>
      </c>
      <c r="DWY18" s="68">
        <f t="shared" si="1207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51"/>
        <v>205</v>
      </c>
      <c r="DXG18" s="68">
        <f t="shared" si="952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3"/>
        <v>330</v>
      </c>
      <c r="DXO18" s="68">
        <f t="shared" si="954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5"/>
        <v>220</v>
      </c>
      <c r="DXW18" s="68">
        <f t="shared" si="956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7"/>
        <v>117</v>
      </c>
      <c r="DYE18" s="68">
        <f t="shared" si="958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9"/>
        <v>110</v>
      </c>
      <c r="DYM18" s="68">
        <f t="shared" si="960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61"/>
        <v>110</v>
      </c>
      <c r="DYU18" s="68">
        <f t="shared" si="962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3"/>
        <v>220</v>
      </c>
      <c r="DZC18" s="68">
        <f t="shared" si="964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5"/>
        <v>114</v>
      </c>
      <c r="DZK18" s="68">
        <f t="shared" si="966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7"/>
        <v>110</v>
      </c>
      <c r="DZS18" s="68">
        <f t="shared" si="968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9"/>
        <v>220</v>
      </c>
      <c r="EAA18" s="68">
        <f t="shared" si="970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71"/>
        <v>220</v>
      </c>
      <c r="EAI18" s="68">
        <f t="shared" si="972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3"/>
        <v>0</v>
      </c>
      <c r="EAQ18" s="68">
        <f t="shared" si="1208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4"/>
        <v>110</v>
      </c>
      <c r="EAY18" s="68">
        <f t="shared" si="975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6"/>
        <v>231</v>
      </c>
      <c r="EBG18" s="68">
        <f t="shared" si="977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8"/>
        <v>220</v>
      </c>
      <c r="EBO18" s="68">
        <f t="shared" si="1137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9"/>
        <v>0</v>
      </c>
      <c r="EBW18" s="68">
        <f t="shared" si="980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81"/>
        <v>219</v>
      </c>
      <c r="ECE18" s="68">
        <f t="shared" si="982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3"/>
        <v>110</v>
      </c>
      <c r="ECM18" s="68">
        <f t="shared" si="984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5"/>
        <v>160</v>
      </c>
      <c r="ECU18" s="68">
        <f t="shared" si="986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7"/>
        <v>320</v>
      </c>
      <c r="EDC18" s="68">
        <f t="shared" si="988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9"/>
        <v>0</v>
      </c>
      <c r="EDK18" s="68">
        <f t="shared" si="990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91"/>
        <v>0</v>
      </c>
      <c r="EDS18" s="184">
        <f t="shared" si="992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3"/>
        <v>110</v>
      </c>
      <c r="EEA18" s="184">
        <f t="shared" si="994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5"/>
        <v>160</v>
      </c>
      <c r="EEI18" s="68">
        <f t="shared" si="996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7"/>
        <v>0</v>
      </c>
      <c r="EEQ18" s="68">
        <f t="shared" si="998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9"/>
        <v>220</v>
      </c>
      <c r="EEY18" s="68">
        <f t="shared" si="1000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1001"/>
        <v>80</v>
      </c>
      <c r="EFG18" s="68">
        <f t="shared" si="1002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3"/>
        <v>220</v>
      </c>
      <c r="EFO18" s="68">
        <f t="shared" si="1004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5"/>
        <v>110</v>
      </c>
      <c r="EFW18" s="68">
        <f t="shared" si="1006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7"/>
        <v>220</v>
      </c>
      <c r="EGE18" s="68">
        <f t="shared" si="1008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9"/>
        <v>110</v>
      </c>
      <c r="EGM18" s="68">
        <f t="shared" si="1010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11"/>
        <v>108</v>
      </c>
      <c r="EGU18" s="68">
        <f t="shared" si="1209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2"/>
        <v>0</v>
      </c>
      <c r="EHC18" s="68">
        <f t="shared" si="1013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4"/>
        <v>110</v>
      </c>
      <c r="EHK18" s="68">
        <f t="shared" si="1015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6"/>
        <v>0</v>
      </c>
      <c r="EHS18" s="68">
        <f t="shared" si="1017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8"/>
        <v>109</v>
      </c>
      <c r="EIA18" s="68">
        <f t="shared" si="1019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20"/>
        <v>100</v>
      </c>
      <c r="EII18" s="68">
        <f t="shared" si="1021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2"/>
        <v>110</v>
      </c>
      <c r="EIQ18" s="68">
        <f t="shared" si="1023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4"/>
        <v>220</v>
      </c>
      <c r="EIY18" s="68">
        <f t="shared" si="1025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6"/>
        <v>110</v>
      </c>
      <c r="EJG18" s="68">
        <f t="shared" si="1027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8"/>
        <v>110</v>
      </c>
      <c r="EJO18" s="68">
        <f t="shared" si="1029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30"/>
        <v>0</v>
      </c>
      <c r="EJW18" s="68">
        <f t="shared" si="1031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2"/>
        <v>159</v>
      </c>
      <c r="EKE18" s="68">
        <f t="shared" si="1033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4"/>
        <v>40</v>
      </c>
      <c r="EKM18" s="68">
        <f t="shared" si="1035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6"/>
        <v>160</v>
      </c>
      <c r="EKU18" s="184">
        <f t="shared" si="1037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8"/>
        <v>0</v>
      </c>
      <c r="ELD18" s="211">
        <f t="shared" si="1039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40"/>
        <v>219</v>
      </c>
      <c r="ELL18" s="211">
        <f t="shared" si="1041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2"/>
        <v>120</v>
      </c>
      <c r="ELT18" s="211">
        <f t="shared" si="1043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4"/>
        <v>0</v>
      </c>
      <c r="EMB18" s="211">
        <f t="shared" si="1045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6"/>
        <v>200</v>
      </c>
      <c r="EMJ18" s="211">
        <f t="shared" si="1047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8"/>
        <v>98</v>
      </c>
      <c r="EMR18" s="211">
        <f t="shared" si="1049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50"/>
        <v>108</v>
      </c>
      <c r="EMZ18" s="211">
        <f t="shared" si="1051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2"/>
        <v>0</v>
      </c>
      <c r="ENH18" s="211">
        <f t="shared" si="1053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4"/>
        <v>220</v>
      </c>
      <c r="ENP18" s="211">
        <f t="shared" si="1055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6"/>
        <v>0</v>
      </c>
      <c r="ENX18" s="211">
        <f t="shared" si="1057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8"/>
        <v>210</v>
      </c>
      <c r="EOF18" s="211">
        <f t="shared" si="1059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60"/>
        <v>0</v>
      </c>
      <c r="EON18" s="211">
        <f t="shared" si="1061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2"/>
        <v>109</v>
      </c>
      <c r="EOV18" s="211">
        <f t="shared" si="1063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4"/>
        <v>108</v>
      </c>
      <c r="EPD18" s="211">
        <f t="shared" si="1065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6"/>
        <v>218</v>
      </c>
      <c r="EPL18" s="211">
        <f t="shared" si="1067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8"/>
        <v>110</v>
      </c>
      <c r="EPT18" s="211">
        <f t="shared" si="1069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70"/>
        <v>0</v>
      </c>
      <c r="EQB18" s="211">
        <f t="shared" si="1071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2"/>
        <v>110</v>
      </c>
      <c r="EQJ18" s="211">
        <f t="shared" si="1073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4"/>
        <v>218</v>
      </c>
      <c r="EQR18" s="211">
        <f t="shared" si="1075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6"/>
        <v>0</v>
      </c>
      <c r="EQZ18" s="211">
        <f t="shared" si="1077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8"/>
        <v>109</v>
      </c>
      <c r="ERH18" s="211">
        <f t="shared" si="1079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80"/>
        <v>110</v>
      </c>
      <c r="ERP18" s="211">
        <f t="shared" si="1081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2"/>
        <v>110</v>
      </c>
      <c r="ERX18" s="211">
        <f t="shared" si="1083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4"/>
        <v>109</v>
      </c>
      <c r="ESF18" s="211">
        <f t="shared" si="1085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6"/>
        <v>110</v>
      </c>
      <c r="ESN18" s="211">
        <f t="shared" si="1087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8"/>
        <v>220</v>
      </c>
      <c r="ESV18" s="211">
        <f t="shared" si="1089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90"/>
        <v>0</v>
      </c>
      <c r="ETD18" s="211">
        <f t="shared" si="1091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2"/>
        <v>110</v>
      </c>
      <c r="ETL18" s="211">
        <f t="shared" si="1093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4"/>
        <v>159</v>
      </c>
      <c r="ETT18" s="211">
        <f t="shared" si="1095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6"/>
        <v>108</v>
      </c>
      <c r="EUB18" s="211">
        <f t="shared" si="1097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8"/>
        <v>111</v>
      </c>
      <c r="EUJ18" s="211">
        <f t="shared" si="1099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100"/>
        <v>0</v>
      </c>
      <c r="EUR18" s="211">
        <f t="shared" si="1101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2"/>
        <v>220</v>
      </c>
      <c r="EUZ18" s="211">
        <f t="shared" si="1103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4"/>
        <v>0</v>
      </c>
      <c r="EVH18" s="211">
        <f t="shared" si="1105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6"/>
        <v>0</v>
      </c>
      <c r="EVP18" s="211">
        <f t="shared" si="1107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8"/>
        <v>161</v>
      </c>
      <c r="EVX18" s="211">
        <f t="shared" si="1109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10"/>
        <v>161</v>
      </c>
      <c r="EWF18" s="211">
        <f t="shared" si="1111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2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3"/>
        <v>324</v>
      </c>
      <c r="EWV18" s="211">
        <f t="shared" si="1114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5"/>
        <v>0</v>
      </c>
      <c r="EXD18" s="211">
        <f t="shared" si="1116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7"/>
        <v>110</v>
      </c>
      <c r="EXL18" s="211">
        <f t="shared" si="1118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9"/>
        <v>110</v>
      </c>
      <c r="EXT18" s="211">
        <f t="shared" si="1120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21"/>
        <v>220</v>
      </c>
      <c r="EYB18" s="211">
        <f t="shared" si="1122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3"/>
        <v>0</v>
      </c>
      <c r="EYJ18" s="211">
        <f t="shared" si="1124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5"/>
        <v>110</v>
      </c>
      <c r="EYR18" s="211">
        <f t="shared" si="1126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7"/>
        <v>110</v>
      </c>
      <c r="EYZ18" s="873">
        <f t="shared" si="1128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9"/>
        <v>108</v>
      </c>
      <c r="EZH18" s="873">
        <f t="shared" si="1130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0</v>
      </c>
      <c r="EZN18" s="49">
        <v>0</v>
      </c>
      <c r="EZO18" s="872">
        <f t="shared" si="1131"/>
        <v>220</v>
      </c>
      <c r="EZP18" s="873">
        <f t="shared" si="1132"/>
        <v>36.666666666666664</v>
      </c>
      <c r="EZQ18" s="458"/>
      <c r="EZR18" s="83"/>
      <c r="EZS18" s="83">
        <v>0</v>
      </c>
      <c r="EZT18" s="83"/>
      <c r="EZU18" s="83"/>
      <c r="EZV18" s="83">
        <v>142</v>
      </c>
      <c r="EZW18" s="872">
        <f t="shared" si="1133"/>
        <v>142</v>
      </c>
      <c r="EZX18" s="873">
        <f t="shared" si="1134"/>
        <v>23.666666666666668</v>
      </c>
      <c r="EZY18" s="195"/>
      <c r="EZZ18" s="49">
        <v>0</v>
      </c>
      <c r="FAA18" s="49"/>
      <c r="FAB18" s="49"/>
      <c r="FAC18" s="49"/>
      <c r="FAD18" s="49"/>
      <c r="FAE18" s="872">
        <f t="shared" si="1135"/>
        <v>0</v>
      </c>
      <c r="FAF18" s="873">
        <f t="shared" si="1136"/>
        <v>0</v>
      </c>
    </row>
    <row r="19" spans="1:4088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998</v>
      </c>
      <c r="G19" s="24"/>
      <c r="H19" s="24"/>
      <c r="I19" s="360"/>
      <c r="J19" s="360">
        <f>SUMIF(SUMPK!$B:$B,$B:$B,SUMPK!$O:$O)</f>
        <v>0</v>
      </c>
      <c r="K19" s="15">
        <f t="shared" si="1210"/>
        <v>0</v>
      </c>
      <c r="L19" s="24">
        <f t="shared" si="189"/>
        <v>998</v>
      </c>
      <c r="M19" s="24">
        <f t="shared" si="190"/>
        <v>998</v>
      </c>
      <c r="N19" s="15">
        <v>0</v>
      </c>
      <c r="O19" s="276">
        <f t="shared" si="1212"/>
        <v>0</v>
      </c>
      <c r="P19" s="712">
        <v>15.666666666666666</v>
      </c>
      <c r="Q19" s="276">
        <f t="shared" si="192"/>
        <v>382.21276595744683</v>
      </c>
      <c r="R19" s="277">
        <f t="shared" si="193"/>
        <v>30.76923076923077</v>
      </c>
      <c r="S19" s="222">
        <v>800</v>
      </c>
      <c r="T19" s="276">
        <f t="shared" si="1213"/>
        <v>32.435000000000002</v>
      </c>
      <c r="U19" s="303"/>
      <c r="V19" s="302">
        <f t="shared" si="1211"/>
        <v>32.435000000000002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202"/>
        <v>486</v>
      </c>
      <c r="JQ19" s="43">
        <f t="shared" si="1203"/>
        <v>81</v>
      </c>
      <c r="JR19" s="48"/>
      <c r="JS19" s="49"/>
      <c r="JT19" s="49"/>
      <c r="JU19" s="49"/>
      <c r="JV19" s="49"/>
      <c r="JW19" s="49"/>
      <c r="JX19" s="42">
        <f t="shared" si="1204"/>
        <v>0</v>
      </c>
      <c r="JY19" s="43">
        <f t="shared" si="1205"/>
        <v>0</v>
      </c>
      <c r="JZ19" s="48"/>
      <c r="KA19" s="49"/>
      <c r="KB19" s="49"/>
      <c r="KC19" s="49"/>
      <c r="KD19" s="49"/>
      <c r="KE19" s="49"/>
      <c r="KF19" s="42">
        <f t="shared" si="196"/>
        <v>0</v>
      </c>
      <c r="KG19" s="43">
        <f t="shared" si="197"/>
        <v>0</v>
      </c>
      <c r="KH19" s="48"/>
      <c r="KI19" s="49"/>
      <c r="KJ19" s="49"/>
      <c r="KK19" s="49"/>
      <c r="KL19" s="49"/>
      <c r="KM19" s="49"/>
      <c r="KN19" s="67">
        <f t="shared" si="198"/>
        <v>0</v>
      </c>
      <c r="KO19" s="68">
        <f t="shared" si="199"/>
        <v>0</v>
      </c>
      <c r="KP19" s="48">
        <v>200</v>
      </c>
      <c r="KQ19" s="49"/>
      <c r="KR19" s="49"/>
      <c r="KS19" s="49"/>
      <c r="KT19" s="49"/>
      <c r="KU19" s="49"/>
      <c r="KV19" s="67">
        <f t="shared" si="200"/>
        <v>200</v>
      </c>
      <c r="KW19" s="68">
        <f t="shared" si="201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2"/>
        <v>200</v>
      </c>
      <c r="LE19" s="68">
        <f t="shared" si="203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4"/>
        <v>199</v>
      </c>
      <c r="LM19" s="68">
        <f t="shared" si="205"/>
        <v>33.166666666666664</v>
      </c>
      <c r="LN19" s="48"/>
      <c r="LO19" s="49"/>
      <c r="LP19" s="49"/>
      <c r="LQ19" s="49"/>
      <c r="LR19" s="49"/>
      <c r="LS19" s="49"/>
      <c r="LT19" s="67">
        <f t="shared" si="206"/>
        <v>0</v>
      </c>
      <c r="LU19" s="68">
        <f t="shared" si="207"/>
        <v>0</v>
      </c>
      <c r="LV19" s="48"/>
      <c r="LW19" s="49"/>
      <c r="LX19" s="49"/>
      <c r="LY19" s="49"/>
      <c r="LZ19" s="49"/>
      <c r="MA19" s="49"/>
      <c r="MB19" s="67">
        <f t="shared" si="208"/>
        <v>0</v>
      </c>
      <c r="MC19" s="68">
        <f t="shared" si="209"/>
        <v>0</v>
      </c>
      <c r="MD19" s="48"/>
      <c r="ME19" s="49"/>
      <c r="MF19" s="49"/>
      <c r="MG19" s="49"/>
      <c r="MH19" s="49"/>
      <c r="MI19" s="49"/>
      <c r="MJ19" s="67">
        <f t="shared" si="210"/>
        <v>0</v>
      </c>
      <c r="MK19" s="68">
        <f t="shared" si="211"/>
        <v>0</v>
      </c>
      <c r="ML19" s="48"/>
      <c r="MM19" s="49"/>
      <c r="MN19" s="49"/>
      <c r="MO19" s="49">
        <v>200</v>
      </c>
      <c r="MP19" s="49"/>
      <c r="MQ19" s="49"/>
      <c r="MR19" s="67">
        <f t="shared" si="212"/>
        <v>200</v>
      </c>
      <c r="MS19" s="68">
        <f t="shared" si="213"/>
        <v>33.333333333333336</v>
      </c>
      <c r="MT19" s="48"/>
      <c r="MU19" s="49"/>
      <c r="MV19" s="49"/>
      <c r="MW19" s="49"/>
      <c r="MX19" s="49"/>
      <c r="MY19" s="49"/>
      <c r="MZ19" s="67">
        <f t="shared" si="214"/>
        <v>0</v>
      </c>
      <c r="NA19" s="68">
        <f t="shared" si="215"/>
        <v>0</v>
      </c>
      <c r="NB19" s="48"/>
      <c r="NC19" s="49"/>
      <c r="ND19" s="49"/>
      <c r="NE19" s="49"/>
      <c r="NF19" s="49"/>
      <c r="NG19" s="49"/>
      <c r="NH19" s="67">
        <f t="shared" si="216"/>
        <v>0</v>
      </c>
      <c r="NI19" s="68">
        <f t="shared" si="217"/>
        <v>0</v>
      </c>
      <c r="NJ19" s="48"/>
      <c r="NK19" s="49">
        <v>300</v>
      </c>
      <c r="NL19" s="49"/>
      <c r="NM19" s="49"/>
      <c r="NN19" s="49"/>
      <c r="NO19" s="49"/>
      <c r="NP19" s="67">
        <f t="shared" si="218"/>
        <v>300</v>
      </c>
      <c r="NQ19" s="68">
        <f t="shared" si="219"/>
        <v>50</v>
      </c>
      <c r="NR19" s="48"/>
      <c r="NS19" s="49"/>
      <c r="NT19" s="49"/>
      <c r="NU19" s="49"/>
      <c r="NV19" s="49"/>
      <c r="NW19" s="49"/>
      <c r="NX19" s="67">
        <f t="shared" si="220"/>
        <v>0</v>
      </c>
      <c r="NY19" s="68">
        <f t="shared" si="221"/>
        <v>0</v>
      </c>
      <c r="NZ19" s="48"/>
      <c r="OA19" s="49"/>
      <c r="OB19" s="49"/>
      <c r="OC19" s="49"/>
      <c r="OD19" s="49"/>
      <c r="OE19" s="49"/>
      <c r="OF19" s="67">
        <f t="shared" si="222"/>
        <v>0</v>
      </c>
      <c r="OG19" s="68">
        <f t="shared" si="223"/>
        <v>0</v>
      </c>
      <c r="OH19" s="48"/>
      <c r="OI19" s="49"/>
      <c r="OJ19" s="49"/>
      <c r="OK19" s="49"/>
      <c r="OL19" s="49"/>
      <c r="OM19" s="49"/>
      <c r="ON19" s="67">
        <f t="shared" si="224"/>
        <v>0</v>
      </c>
      <c r="OO19" s="68">
        <f t="shared" si="225"/>
        <v>0</v>
      </c>
      <c r="OP19" s="48"/>
      <c r="OQ19" s="49"/>
      <c r="OR19" s="49"/>
      <c r="OS19" s="49"/>
      <c r="OT19" s="49"/>
      <c r="OU19" s="49"/>
      <c r="OV19" s="67">
        <f t="shared" si="226"/>
        <v>0</v>
      </c>
      <c r="OW19" s="68">
        <f t="shared" si="227"/>
        <v>0</v>
      </c>
      <c r="OX19" s="48"/>
      <c r="OY19" s="49"/>
      <c r="OZ19" s="49"/>
      <c r="PA19" s="49"/>
      <c r="PB19" s="49">
        <v>200</v>
      </c>
      <c r="PC19" s="49"/>
      <c r="PD19" s="67">
        <f t="shared" si="228"/>
        <v>200</v>
      </c>
      <c r="PE19" s="68">
        <f t="shared" si="229"/>
        <v>33.333333333333336</v>
      </c>
      <c r="PF19" s="48"/>
      <c r="PG19" s="49"/>
      <c r="PH19" s="49"/>
      <c r="PI19" s="49"/>
      <c r="PJ19" s="49"/>
      <c r="PK19" s="49"/>
      <c r="PL19" s="67">
        <f t="shared" si="230"/>
        <v>0</v>
      </c>
      <c r="PM19" s="68">
        <f t="shared" si="231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2"/>
        <v>585</v>
      </c>
      <c r="PU19" s="105">
        <f t="shared" si="233"/>
        <v>97.5</v>
      </c>
      <c r="PV19" s="106"/>
      <c r="PW19" s="107"/>
      <c r="PX19" s="107"/>
      <c r="PY19" s="107"/>
      <c r="PZ19" s="107"/>
      <c r="QA19" s="107"/>
      <c r="QB19" s="104">
        <f t="shared" si="234"/>
        <v>0</v>
      </c>
      <c r="QC19" s="105">
        <f t="shared" si="235"/>
        <v>0</v>
      </c>
      <c r="QD19" s="106"/>
      <c r="QE19" s="107"/>
      <c r="QF19" s="107"/>
      <c r="QG19" s="107"/>
      <c r="QH19" s="107"/>
      <c r="QI19" s="107"/>
      <c r="QJ19" s="104">
        <f t="shared" si="236"/>
        <v>0</v>
      </c>
      <c r="QK19" s="105">
        <f t="shared" si="237"/>
        <v>0</v>
      </c>
      <c r="QL19" s="106"/>
      <c r="QM19" s="107"/>
      <c r="QN19" s="107"/>
      <c r="QO19" s="107"/>
      <c r="QP19" s="107"/>
      <c r="QQ19" s="107"/>
      <c r="QR19" s="104">
        <f t="shared" si="238"/>
        <v>0</v>
      </c>
      <c r="QS19" s="105">
        <f t="shared" si="239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40"/>
        <v>200</v>
      </c>
      <c r="RA19" s="105">
        <f t="shared" si="241"/>
        <v>33.333333333333336</v>
      </c>
      <c r="RB19" s="106"/>
      <c r="RC19" s="107"/>
      <c r="RD19" s="107"/>
      <c r="RE19" s="107"/>
      <c r="RF19" s="107"/>
      <c r="RG19" s="107"/>
      <c r="RH19" s="104">
        <f t="shared" si="242"/>
        <v>0</v>
      </c>
      <c r="RI19" s="105">
        <f t="shared" si="243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4"/>
        <v>200</v>
      </c>
      <c r="RQ19" s="105">
        <f t="shared" si="245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6"/>
        <v>200</v>
      </c>
      <c r="RY19" s="105">
        <f t="shared" si="247"/>
        <v>33.333333333333336</v>
      </c>
      <c r="RZ19" s="106"/>
      <c r="SA19" s="107"/>
      <c r="SB19" s="107"/>
      <c r="SC19" s="107"/>
      <c r="SD19" s="107"/>
      <c r="SE19" s="107"/>
      <c r="SF19" s="104">
        <f t="shared" si="248"/>
        <v>0</v>
      </c>
      <c r="SG19" s="105">
        <f t="shared" si="249"/>
        <v>0</v>
      </c>
      <c r="SH19" s="106"/>
      <c r="SI19" s="107"/>
      <c r="SJ19" s="107"/>
      <c r="SK19" s="107"/>
      <c r="SL19" s="107"/>
      <c r="SM19" s="107"/>
      <c r="SN19" s="104">
        <f t="shared" si="250"/>
        <v>0</v>
      </c>
      <c r="SO19" s="105">
        <f t="shared" si="251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2"/>
        <v>400</v>
      </c>
      <c r="SW19" s="105">
        <f t="shared" si="253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4"/>
        <v>198</v>
      </c>
      <c r="TE19" s="105">
        <f t="shared" si="255"/>
        <v>33</v>
      </c>
      <c r="TF19" s="106"/>
      <c r="TG19" s="107"/>
      <c r="TH19" s="107"/>
      <c r="TI19" s="107"/>
      <c r="TJ19" s="107"/>
      <c r="TK19" s="107"/>
      <c r="TL19" s="104">
        <f t="shared" si="256"/>
        <v>0</v>
      </c>
      <c r="TM19" s="105">
        <f t="shared" si="257"/>
        <v>0</v>
      </c>
      <c r="TN19" s="106"/>
      <c r="TO19" s="107"/>
      <c r="TP19" s="107"/>
      <c r="TQ19" s="107"/>
      <c r="TR19" s="107"/>
      <c r="TS19" s="107"/>
      <c r="TT19" s="104">
        <f t="shared" si="258"/>
        <v>0</v>
      </c>
      <c r="TU19" s="105">
        <f t="shared" si="259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60"/>
        <v>400</v>
      </c>
      <c r="UC19" s="105">
        <f t="shared" si="261"/>
        <v>66.666666666666671</v>
      </c>
      <c r="UD19" s="106"/>
      <c r="UE19" s="107"/>
      <c r="UF19" s="107"/>
      <c r="UG19" s="107"/>
      <c r="UH19" s="107"/>
      <c r="UI19" s="107"/>
      <c r="UJ19" s="104">
        <f t="shared" si="262"/>
        <v>0</v>
      </c>
      <c r="UK19" s="105">
        <f t="shared" si="263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4"/>
        <v>0</v>
      </c>
      <c r="UT19" s="105">
        <f t="shared" si="265"/>
        <v>0</v>
      </c>
      <c r="UU19" s="106"/>
      <c r="UV19" s="107"/>
      <c r="UW19" s="107"/>
      <c r="UX19" s="107"/>
      <c r="UY19" s="107"/>
      <c r="UZ19" s="107"/>
      <c r="VA19" s="104">
        <f t="shared" si="266"/>
        <v>0</v>
      </c>
      <c r="VB19" s="105">
        <f t="shared" si="267"/>
        <v>0</v>
      </c>
      <c r="VC19" s="106"/>
      <c r="VD19" s="107"/>
      <c r="VE19" s="107"/>
      <c r="VF19" s="107"/>
      <c r="VG19" s="107"/>
      <c r="VH19" s="107"/>
      <c r="VI19" s="104">
        <f t="shared" si="268"/>
        <v>0</v>
      </c>
      <c r="VJ19" s="105">
        <f t="shared" si="269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70"/>
        <v>199</v>
      </c>
      <c r="VR19" s="105">
        <f t="shared" si="271"/>
        <v>33.166666666666664</v>
      </c>
      <c r="VS19" s="106"/>
      <c r="VT19" s="107"/>
      <c r="VU19" s="107"/>
      <c r="VV19" s="107"/>
      <c r="VW19" s="107"/>
      <c r="VX19" s="107"/>
      <c r="VY19" s="104">
        <f t="shared" si="272"/>
        <v>0</v>
      </c>
      <c r="VZ19" s="105">
        <f t="shared" si="273"/>
        <v>0</v>
      </c>
      <c r="WA19" s="63"/>
      <c r="WB19" s="64">
        <v>200</v>
      </c>
      <c r="WC19" s="64"/>
      <c r="WD19" s="64"/>
      <c r="WE19" s="64"/>
      <c r="WF19" s="64"/>
      <c r="WG19" s="67">
        <f t="shared" si="274"/>
        <v>200</v>
      </c>
      <c r="WH19" s="68">
        <f t="shared" si="275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6"/>
        <v>200</v>
      </c>
      <c r="WP19" s="68">
        <f t="shared" si="277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8"/>
        <v>102</v>
      </c>
      <c r="WY19" s="68">
        <f t="shared" si="279"/>
        <v>17</v>
      </c>
      <c r="WZ19" s="48"/>
      <c r="XA19" s="49"/>
      <c r="XB19" s="49"/>
      <c r="XC19" s="49"/>
      <c r="XD19" s="49"/>
      <c r="XE19" s="49"/>
      <c r="XF19" s="49"/>
      <c r="XG19" s="67">
        <f t="shared" si="280"/>
        <v>0</v>
      </c>
      <c r="XH19" s="68">
        <f t="shared" si="281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2"/>
        <v>261</v>
      </c>
      <c r="XQ19" s="105">
        <f t="shared" si="283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4"/>
        <v>195</v>
      </c>
      <c r="XZ19" s="68">
        <f t="shared" si="285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6"/>
        <v>200</v>
      </c>
      <c r="YI19" s="68">
        <f t="shared" si="287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8"/>
        <v>0</v>
      </c>
      <c r="YR19" s="68">
        <f t="shared" si="289"/>
        <v>0</v>
      </c>
      <c r="YS19" s="48"/>
      <c r="YT19" s="49"/>
      <c r="YU19" s="49"/>
      <c r="YV19" s="49"/>
      <c r="YW19" s="49"/>
      <c r="YX19" s="49"/>
      <c r="YY19" s="67">
        <f t="shared" si="290"/>
        <v>0</v>
      </c>
      <c r="YZ19" s="68">
        <f t="shared" si="291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2"/>
        <v>315</v>
      </c>
      <c r="ZH19" s="68">
        <f t="shared" si="293"/>
        <v>52.5</v>
      </c>
      <c r="ZI19" s="48"/>
      <c r="ZJ19" s="49"/>
      <c r="ZK19" s="49"/>
      <c r="ZL19" s="49"/>
      <c r="ZM19" s="49"/>
      <c r="ZN19" s="24"/>
      <c r="ZO19" s="67">
        <f t="shared" si="294"/>
        <v>0</v>
      </c>
      <c r="ZP19" s="68">
        <f t="shared" si="295"/>
        <v>0</v>
      </c>
      <c r="ZQ19" s="48"/>
      <c r="ZR19" s="49"/>
      <c r="ZS19" s="49"/>
      <c r="ZT19" s="49"/>
      <c r="ZU19" s="49"/>
      <c r="ZV19" s="49"/>
      <c r="ZW19" s="49"/>
      <c r="ZX19" s="67">
        <f t="shared" si="296"/>
        <v>0</v>
      </c>
      <c r="ZY19" s="68">
        <f t="shared" si="297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8"/>
        <v>200</v>
      </c>
      <c r="AAH19" s="68">
        <f t="shared" si="299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300"/>
        <v>700</v>
      </c>
      <c r="AAP19" s="68">
        <f t="shared" si="301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2"/>
        <v>200</v>
      </c>
      <c r="AAX19" s="68">
        <f t="shared" si="303"/>
        <v>33.333333333333336</v>
      </c>
      <c r="AAY19" s="48"/>
      <c r="AAZ19" s="49"/>
      <c r="ABA19" s="49"/>
      <c r="ABB19" s="49"/>
      <c r="ABC19" s="49"/>
      <c r="ABD19" s="49"/>
      <c r="ABE19" s="67">
        <f t="shared" si="304"/>
        <v>0</v>
      </c>
      <c r="ABF19" s="68">
        <f t="shared" si="305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6"/>
        <v>200</v>
      </c>
      <c r="ABN19" s="68">
        <f t="shared" si="307"/>
        <v>33.333333333333336</v>
      </c>
      <c r="ABO19" s="48"/>
      <c r="ABP19" s="49"/>
      <c r="ABQ19" s="49"/>
      <c r="ABR19" s="49"/>
      <c r="ABS19" s="49"/>
      <c r="ABT19" s="49"/>
      <c r="ABU19" s="67">
        <f t="shared" si="308"/>
        <v>0</v>
      </c>
      <c r="ABV19" s="68">
        <f t="shared" si="309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10"/>
        <v>200</v>
      </c>
      <c r="ACD19" s="68">
        <f t="shared" si="311"/>
        <v>33.333333333333336</v>
      </c>
      <c r="ACE19" s="48"/>
      <c r="ACF19" s="49"/>
      <c r="ACG19" s="49"/>
      <c r="ACH19" s="49"/>
      <c r="ACI19" s="49"/>
      <c r="ACJ19" s="49"/>
      <c r="ACK19" s="67">
        <f t="shared" si="312"/>
        <v>0</v>
      </c>
      <c r="ACL19" s="68">
        <f t="shared" si="313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4"/>
        <v>220</v>
      </c>
      <c r="ACT19" s="68">
        <f t="shared" si="315"/>
        <v>36.666666666666664</v>
      </c>
      <c r="ACU19" s="48"/>
      <c r="ACV19" s="49"/>
      <c r="ACW19" s="49"/>
      <c r="ACX19" s="49"/>
      <c r="ACY19" s="49"/>
      <c r="ACZ19" s="49"/>
      <c r="ADA19" s="67">
        <f t="shared" si="316"/>
        <v>0</v>
      </c>
      <c r="ADB19" s="68">
        <f t="shared" si="317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8"/>
        <v>199</v>
      </c>
      <c r="ADJ19" s="68">
        <f t="shared" si="319"/>
        <v>33.166666666666664</v>
      </c>
      <c r="ADK19" s="48"/>
      <c r="ADL19" s="49"/>
      <c r="ADM19" s="49"/>
      <c r="ADN19" s="49"/>
      <c r="ADO19" s="49"/>
      <c r="ADP19" s="49"/>
      <c r="ADQ19" s="67">
        <f t="shared" si="320"/>
        <v>0</v>
      </c>
      <c r="ADR19" s="68">
        <f t="shared" si="321"/>
        <v>0</v>
      </c>
      <c r="ADS19" s="48"/>
      <c r="ADT19" s="49"/>
      <c r="ADU19" s="49"/>
      <c r="ADV19" s="49"/>
      <c r="ADW19" s="49"/>
      <c r="ADX19" s="49"/>
      <c r="ADY19" s="67">
        <f t="shared" si="322"/>
        <v>0</v>
      </c>
      <c r="ADZ19" s="68">
        <f t="shared" si="323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4"/>
        <v>221</v>
      </c>
      <c r="AEH19" s="68">
        <f t="shared" si="325"/>
        <v>36.833333333333336</v>
      </c>
      <c r="AEI19" s="48"/>
      <c r="AEJ19" s="49"/>
      <c r="AEK19" s="49"/>
      <c r="AEL19" s="49"/>
      <c r="AEM19" s="49"/>
      <c r="AEN19" s="49"/>
      <c r="AEO19" s="67">
        <f t="shared" si="326"/>
        <v>0</v>
      </c>
      <c r="AEP19" s="68">
        <f t="shared" si="327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8"/>
        <v>220</v>
      </c>
      <c r="AEX19" s="68">
        <f t="shared" si="329"/>
        <v>36.666666666666664</v>
      </c>
      <c r="AEY19" s="48"/>
      <c r="AEZ19" s="49"/>
      <c r="AFA19" s="49"/>
      <c r="AFB19" s="49"/>
      <c r="AFC19" s="49"/>
      <c r="AFD19" s="49"/>
      <c r="AFE19" s="67">
        <f t="shared" si="330"/>
        <v>0</v>
      </c>
      <c r="AFF19" s="68">
        <f t="shared" si="331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2"/>
        <v>330</v>
      </c>
      <c r="AFN19" s="68">
        <f t="shared" si="333"/>
        <v>55</v>
      </c>
      <c r="AFO19" s="48"/>
      <c r="AFP19" s="49"/>
      <c r="AFQ19" s="49"/>
      <c r="AFR19" s="49"/>
      <c r="AFS19" s="49"/>
      <c r="AFT19" s="49"/>
      <c r="AFU19" s="67">
        <f t="shared" si="334"/>
        <v>0</v>
      </c>
      <c r="AFV19" s="68">
        <f t="shared" si="335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6"/>
        <v>200</v>
      </c>
      <c r="AGD19" s="68">
        <f t="shared" si="337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8"/>
        <v>220</v>
      </c>
      <c r="AGL19" s="68">
        <f t="shared" si="339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40"/>
        <v>0</v>
      </c>
      <c r="AGU19" s="68">
        <f t="shared" si="341"/>
        <v>0</v>
      </c>
      <c r="AGV19" s="48"/>
      <c r="AGW19" s="49"/>
      <c r="AGX19" s="49"/>
      <c r="AGY19" s="49"/>
      <c r="AGZ19" s="49"/>
      <c r="AHA19" s="49"/>
      <c r="AHB19" s="67">
        <f t="shared" si="342"/>
        <v>0</v>
      </c>
      <c r="AHC19" s="68">
        <f t="shared" si="343"/>
        <v>0</v>
      </c>
      <c r="AHD19" s="48"/>
      <c r="AHE19" s="49"/>
      <c r="AHF19" s="49"/>
      <c r="AHG19" s="49"/>
      <c r="AHH19" s="49"/>
      <c r="AHI19" s="49"/>
      <c r="AHJ19" s="67">
        <f t="shared" si="344"/>
        <v>0</v>
      </c>
      <c r="AHK19" s="68">
        <f t="shared" si="345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6"/>
        <v>220</v>
      </c>
      <c r="AHS19" s="68">
        <f t="shared" si="347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8"/>
        <v>238</v>
      </c>
      <c r="AIA19" s="68">
        <f t="shared" si="349"/>
        <v>8.2068965517241388</v>
      </c>
      <c r="AIB19" s="48"/>
      <c r="AIC19" s="49"/>
      <c r="AID19" s="49"/>
      <c r="AIE19" s="49"/>
      <c r="AIF19" s="49"/>
      <c r="AIG19" s="49"/>
      <c r="AIH19" s="67">
        <f t="shared" si="350"/>
        <v>0</v>
      </c>
      <c r="AII19" s="68">
        <f t="shared" si="351"/>
        <v>0</v>
      </c>
      <c r="AIJ19" s="48"/>
      <c r="AIK19" s="49"/>
      <c r="AIL19" s="49"/>
      <c r="AIM19" s="49"/>
      <c r="AIN19" s="49"/>
      <c r="AIO19" s="49"/>
      <c r="AIP19" s="67">
        <f t="shared" si="352"/>
        <v>0</v>
      </c>
      <c r="AIQ19" s="68">
        <f t="shared" si="353"/>
        <v>0</v>
      </c>
      <c r="AIR19" s="48"/>
      <c r="AIS19" s="49"/>
      <c r="AIT19" s="49"/>
      <c r="AIU19" s="49"/>
      <c r="AIV19" s="49"/>
      <c r="AIW19" s="49"/>
      <c r="AIX19" s="67">
        <f t="shared" si="354"/>
        <v>0</v>
      </c>
      <c r="AIY19" s="68">
        <f t="shared" si="355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6"/>
        <v>200</v>
      </c>
      <c r="AJG19" s="68">
        <f t="shared" si="357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8"/>
        <v>226</v>
      </c>
      <c r="AJO19" s="43">
        <f t="shared" si="359"/>
        <v>7.7931034482758621</v>
      </c>
      <c r="AJP19" s="48"/>
      <c r="AJQ19" s="49"/>
      <c r="AJR19" s="49"/>
      <c r="AJS19" s="49"/>
      <c r="AJT19" s="49"/>
      <c r="AJU19" s="49"/>
      <c r="AJV19" s="42">
        <f t="shared" si="360"/>
        <v>0</v>
      </c>
      <c r="AJW19" s="43">
        <f t="shared" si="361"/>
        <v>0</v>
      </c>
      <c r="AJX19" s="48"/>
      <c r="AJY19" s="49"/>
      <c r="AJZ19" s="49"/>
      <c r="AKA19" s="49"/>
      <c r="AKB19" s="49"/>
      <c r="AKC19" s="49"/>
      <c r="AKD19" s="67">
        <f t="shared" si="362"/>
        <v>0</v>
      </c>
      <c r="AKE19" s="68">
        <f t="shared" si="363"/>
        <v>0</v>
      </c>
      <c r="AKF19" s="48"/>
      <c r="AKG19" s="49"/>
      <c r="AKH19" s="49"/>
      <c r="AKI19" s="49"/>
      <c r="AKJ19" s="49"/>
      <c r="AKK19" s="49"/>
      <c r="AKL19" s="67">
        <f t="shared" si="364"/>
        <v>0</v>
      </c>
      <c r="AKM19" s="184">
        <f t="shared" si="365"/>
        <v>0</v>
      </c>
      <c r="AKN19" s="195"/>
      <c r="AKO19" s="49"/>
      <c r="AKP19" s="49"/>
      <c r="AKQ19" s="49"/>
      <c r="AKR19" s="49"/>
      <c r="AKS19" s="49"/>
      <c r="AKT19" s="67">
        <f t="shared" si="366"/>
        <v>0</v>
      </c>
      <c r="AKU19" s="184">
        <f t="shared" si="367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8"/>
        <v>219</v>
      </c>
      <c r="ALC19" s="68">
        <f t="shared" si="369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70"/>
        <v>220</v>
      </c>
      <c r="ALK19" s="68">
        <f t="shared" si="371"/>
        <v>36.666666666666664</v>
      </c>
      <c r="ALL19" s="48"/>
      <c r="ALM19" s="49"/>
      <c r="ALN19" s="49"/>
      <c r="ALO19" s="49"/>
      <c r="ALP19" s="49"/>
      <c r="ALQ19" s="49"/>
      <c r="ALR19" s="67">
        <f t="shared" si="372"/>
        <v>0</v>
      </c>
      <c r="ALS19" s="68">
        <f t="shared" si="373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4"/>
        <v>220</v>
      </c>
      <c r="AMA19" s="68">
        <f t="shared" si="375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6"/>
        <v>220</v>
      </c>
      <c r="AMI19" s="68">
        <f t="shared" si="377"/>
        <v>36.666666666666664</v>
      </c>
      <c r="AMJ19" s="48"/>
      <c r="AMK19" s="49"/>
      <c r="AML19" s="49"/>
      <c r="AMM19" s="49"/>
      <c r="AMN19" s="49"/>
      <c r="AMO19" s="49"/>
      <c r="AMP19" s="67">
        <f t="shared" si="378"/>
        <v>0</v>
      </c>
      <c r="AMQ19" s="68">
        <f t="shared" si="379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80"/>
        <v>214</v>
      </c>
      <c r="AMY19" s="68">
        <f t="shared" si="381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2"/>
        <v>220</v>
      </c>
      <c r="ANG19" s="68">
        <f t="shared" si="383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4"/>
        <v>440</v>
      </c>
      <c r="ANO19" s="68">
        <f t="shared" si="385"/>
        <v>73.333333333333329</v>
      </c>
      <c r="ANP19" s="48"/>
      <c r="ANQ19" s="49"/>
      <c r="ANR19" s="49"/>
      <c r="ANS19" s="49"/>
      <c r="ANT19" s="49"/>
      <c r="ANU19" s="49"/>
      <c r="ANV19" s="67">
        <f t="shared" si="386"/>
        <v>0</v>
      </c>
      <c r="ANW19" s="68">
        <f t="shared" si="387"/>
        <v>0</v>
      </c>
      <c r="ANX19" s="82"/>
      <c r="ANY19" s="83"/>
      <c r="ANZ19" s="83"/>
      <c r="AOA19" s="83"/>
      <c r="AOB19" s="83"/>
      <c r="AOC19" s="83"/>
      <c r="AOD19" s="67">
        <f t="shared" si="388"/>
        <v>0</v>
      </c>
      <c r="AOE19" s="68">
        <f t="shared" si="389"/>
        <v>0</v>
      </c>
      <c r="AOF19" s="48"/>
      <c r="AOG19" s="49"/>
      <c r="AOH19" s="49"/>
      <c r="AOI19" s="49"/>
      <c r="AOJ19" s="49"/>
      <c r="AOK19" s="49"/>
      <c r="AOL19" s="67">
        <f t="shared" si="390"/>
        <v>0</v>
      </c>
      <c r="AOM19" s="68">
        <f t="shared" si="391"/>
        <v>0</v>
      </c>
      <c r="AON19" s="48"/>
      <c r="AOO19" s="49"/>
      <c r="AOP19" s="49"/>
      <c r="AOQ19" s="49"/>
      <c r="AOR19" s="49"/>
      <c r="AOS19" s="49"/>
      <c r="AOT19" s="67">
        <f t="shared" si="392"/>
        <v>0</v>
      </c>
      <c r="AOU19" s="68">
        <f t="shared" si="393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4"/>
        <v>220</v>
      </c>
      <c r="APC19" s="68">
        <f t="shared" si="395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6"/>
        <v>220</v>
      </c>
      <c r="APK19" s="68">
        <f t="shared" si="397"/>
        <v>36.666666666666664</v>
      </c>
      <c r="APL19" s="48"/>
      <c r="APM19" s="49"/>
      <c r="APN19" s="49"/>
      <c r="APO19" s="49"/>
      <c r="APP19" s="49"/>
      <c r="APQ19" s="49"/>
      <c r="APR19" s="67">
        <f t="shared" si="398"/>
        <v>0</v>
      </c>
      <c r="APS19" s="68">
        <f t="shared" si="399"/>
        <v>0</v>
      </c>
      <c r="APT19" s="48"/>
      <c r="APU19" s="49"/>
      <c r="APV19" s="49"/>
      <c r="APW19" s="49"/>
      <c r="APX19" s="49"/>
      <c r="APY19" s="49"/>
      <c r="APZ19" s="67">
        <f t="shared" si="400"/>
        <v>0</v>
      </c>
      <c r="AQA19" s="68">
        <f t="shared" si="401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2"/>
        <v>226</v>
      </c>
      <c r="AQI19" s="68">
        <f t="shared" si="403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4"/>
        <v>220</v>
      </c>
      <c r="AQQ19" s="68">
        <f t="shared" si="405"/>
        <v>36.666666666666664</v>
      </c>
      <c r="AQR19" s="48"/>
      <c r="AQS19" s="49"/>
      <c r="AQT19" s="49"/>
      <c r="AQU19" s="49"/>
      <c r="AQV19" s="49"/>
      <c r="AQW19" s="49"/>
      <c r="AQX19" s="67">
        <f t="shared" si="406"/>
        <v>0</v>
      </c>
      <c r="AQY19" s="68">
        <f t="shared" si="407"/>
        <v>0</v>
      </c>
      <c r="AQZ19" s="48"/>
      <c r="ARA19" s="49"/>
      <c r="ARB19" s="49"/>
      <c r="ARC19" s="49"/>
      <c r="ARD19" s="49"/>
      <c r="ARE19" s="49"/>
      <c r="ARF19" s="67">
        <f t="shared" si="408"/>
        <v>0</v>
      </c>
      <c r="ARG19" s="68">
        <f t="shared" si="409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10"/>
        <v>110</v>
      </c>
      <c r="ARO19" s="68">
        <f t="shared" si="411"/>
        <v>18.333333333333332</v>
      </c>
      <c r="ARP19" s="48"/>
      <c r="ARQ19" s="49"/>
      <c r="ARR19" s="49"/>
      <c r="ARS19" s="49"/>
      <c r="ART19" s="49"/>
      <c r="ARU19" s="49"/>
      <c r="ARV19" s="67">
        <f t="shared" si="412"/>
        <v>0</v>
      </c>
      <c r="ARW19" s="68">
        <f t="shared" si="413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4"/>
        <v>220</v>
      </c>
      <c r="ASE19" s="68">
        <f t="shared" si="415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6"/>
        <v>201</v>
      </c>
      <c r="ASM19" s="68">
        <f t="shared" si="417"/>
        <v>33.5</v>
      </c>
      <c r="ASN19" s="48"/>
      <c r="ASO19" s="49"/>
      <c r="ASP19" s="49"/>
      <c r="ASQ19" s="49"/>
      <c r="ASR19" s="49"/>
      <c r="ASS19" s="49"/>
      <c r="AST19" s="67">
        <f t="shared" si="418"/>
        <v>0</v>
      </c>
      <c r="ASU19" s="68">
        <f t="shared" si="419"/>
        <v>0</v>
      </c>
      <c r="ASV19" s="48"/>
      <c r="ASW19" s="49"/>
      <c r="ASX19" s="49"/>
      <c r="ASY19" s="49"/>
      <c r="ASZ19" s="49"/>
      <c r="ATA19" s="49"/>
      <c r="ATB19" s="67">
        <f t="shared" si="420"/>
        <v>0</v>
      </c>
      <c r="ATC19" s="68">
        <f t="shared" si="421"/>
        <v>0</v>
      </c>
      <c r="ATD19" s="48"/>
      <c r="ATE19" s="49"/>
      <c r="ATF19" s="49"/>
      <c r="ATG19" s="49"/>
      <c r="ATH19" s="49"/>
      <c r="ATI19" s="49"/>
      <c r="ATJ19" s="67">
        <f t="shared" si="422"/>
        <v>0</v>
      </c>
      <c r="ATK19" s="68">
        <f t="shared" si="423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4"/>
        <v>220</v>
      </c>
      <c r="ATS19" s="68">
        <f t="shared" si="425"/>
        <v>36.666666666666664</v>
      </c>
      <c r="ATT19" s="48"/>
      <c r="ATU19" s="49"/>
      <c r="ATV19" s="49"/>
      <c r="ATW19" s="49"/>
      <c r="ATX19" s="49"/>
      <c r="ATY19" s="49"/>
      <c r="ATZ19" s="67">
        <f t="shared" si="426"/>
        <v>0</v>
      </c>
      <c r="AUA19" s="68">
        <f t="shared" si="427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8"/>
        <v>220</v>
      </c>
      <c r="AUI19" s="68">
        <f t="shared" si="429"/>
        <v>36.666666666666664</v>
      </c>
      <c r="AUJ19" s="48"/>
      <c r="AUK19" s="49"/>
      <c r="AUL19" s="49"/>
      <c r="AUM19" s="49"/>
      <c r="AUN19" s="49"/>
      <c r="AUO19" s="49"/>
      <c r="AUP19" s="67">
        <f t="shared" si="430"/>
        <v>0</v>
      </c>
      <c r="AUQ19" s="68">
        <f t="shared" si="431"/>
        <v>0</v>
      </c>
      <c r="AUR19" s="48"/>
      <c r="AUS19" s="49"/>
      <c r="AUT19" s="49"/>
      <c r="AUU19" s="49"/>
      <c r="AUV19" s="49"/>
      <c r="AUW19" s="49"/>
      <c r="AUX19" s="67">
        <f t="shared" si="432"/>
        <v>0</v>
      </c>
      <c r="AUY19" s="68">
        <f t="shared" si="433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4"/>
        <v>220</v>
      </c>
      <c r="AVG19" s="68">
        <f t="shared" si="435"/>
        <v>36.666666666666664</v>
      </c>
      <c r="AVH19" s="48"/>
      <c r="AVI19" s="49"/>
      <c r="AVJ19" s="49"/>
      <c r="AVK19" s="49"/>
      <c r="AVL19" s="49"/>
      <c r="AVM19" s="49"/>
      <c r="AVN19" s="67">
        <f t="shared" si="436"/>
        <v>0</v>
      </c>
      <c r="AVO19" s="68">
        <f t="shared" si="437"/>
        <v>0</v>
      </c>
      <c r="AVP19" s="48"/>
      <c r="AVQ19" s="49"/>
      <c r="AVR19" s="49"/>
      <c r="AVS19" s="49"/>
      <c r="AVT19" s="49"/>
      <c r="AVU19" s="49"/>
      <c r="AVV19" s="67">
        <f t="shared" si="438"/>
        <v>0</v>
      </c>
      <c r="AVW19" s="68">
        <f t="shared" si="439"/>
        <v>0</v>
      </c>
      <c r="AVX19" s="48"/>
      <c r="AVY19" s="49"/>
      <c r="AVZ19" s="49"/>
      <c r="AWA19" s="49"/>
      <c r="AWB19" s="49"/>
      <c r="AWC19" s="49"/>
      <c r="AWD19" s="67">
        <f t="shared" si="440"/>
        <v>0</v>
      </c>
      <c r="AWE19" s="68">
        <f t="shared" si="441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2"/>
        <v>110</v>
      </c>
      <c r="AWM19" s="68">
        <f t="shared" si="443"/>
        <v>18.333333333333332</v>
      </c>
      <c r="AWN19" s="48"/>
      <c r="AWO19" s="49"/>
      <c r="AWP19" s="49"/>
      <c r="AWQ19" s="49"/>
      <c r="AWR19" s="49"/>
      <c r="AWS19" s="49"/>
      <c r="AWT19" s="42">
        <f t="shared" si="444"/>
        <v>0</v>
      </c>
      <c r="AWU19" s="43">
        <f t="shared" si="445"/>
        <v>0</v>
      </c>
      <c r="AWV19" s="48"/>
      <c r="AWW19" s="49"/>
      <c r="AWX19" s="49"/>
      <c r="AWY19" s="49"/>
      <c r="AWZ19" s="49"/>
      <c r="AXA19" s="49"/>
      <c r="AXB19" s="42">
        <f t="shared" si="446"/>
        <v>0</v>
      </c>
      <c r="AXC19" s="43">
        <f t="shared" si="447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8"/>
        <v>165</v>
      </c>
      <c r="AXK19" s="43">
        <f t="shared" si="449"/>
        <v>27.5</v>
      </c>
      <c r="AXL19" s="48"/>
      <c r="AXM19" s="49"/>
      <c r="AXN19" s="49"/>
      <c r="AXO19" s="49"/>
      <c r="AXP19" s="49"/>
      <c r="AXQ19" s="49"/>
      <c r="AXR19" s="42">
        <f t="shared" si="450"/>
        <v>0</v>
      </c>
      <c r="AXS19" s="43">
        <f t="shared" si="451"/>
        <v>0</v>
      </c>
      <c r="AXT19" s="48"/>
      <c r="AXU19" s="49"/>
      <c r="AXV19" s="49"/>
      <c r="AXW19" s="49"/>
      <c r="AXX19" s="49"/>
      <c r="AXY19" s="49"/>
      <c r="AXZ19" s="42">
        <f t="shared" si="452"/>
        <v>0</v>
      </c>
      <c r="AYA19" s="43">
        <f t="shared" si="453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4"/>
        <v>434</v>
      </c>
      <c r="AYI19" s="43">
        <f t="shared" si="455"/>
        <v>72.333333333333329</v>
      </c>
      <c r="AYJ19" s="48"/>
      <c r="AYK19" s="49"/>
      <c r="AYL19" s="49"/>
      <c r="AYM19" s="49"/>
      <c r="AYN19" s="49"/>
      <c r="AYO19" s="49"/>
      <c r="AYP19" s="42">
        <f t="shared" si="456"/>
        <v>0</v>
      </c>
      <c r="AYQ19" s="43">
        <f t="shared" si="457"/>
        <v>0</v>
      </c>
      <c r="AYR19" s="48"/>
      <c r="AYS19" s="49"/>
      <c r="AYT19" s="49"/>
      <c r="AYU19" s="49"/>
      <c r="AYV19" s="49"/>
      <c r="AYW19" s="49"/>
      <c r="AYX19" s="42">
        <f t="shared" si="458"/>
        <v>0</v>
      </c>
      <c r="AYY19" s="43">
        <f t="shared" si="459"/>
        <v>0</v>
      </c>
      <c r="AYZ19" s="48"/>
      <c r="AZA19" s="49"/>
      <c r="AZB19" s="49"/>
      <c r="AZC19" s="49"/>
      <c r="AZD19" s="49"/>
      <c r="AZE19" s="49"/>
      <c r="AZF19" s="42">
        <f t="shared" si="460"/>
        <v>0</v>
      </c>
      <c r="AZG19" s="43">
        <f t="shared" si="461"/>
        <v>0</v>
      </c>
      <c r="AZH19" s="48"/>
      <c r="AZI19" s="49"/>
      <c r="AZJ19" s="49"/>
      <c r="AZK19" s="49"/>
      <c r="AZL19" s="49"/>
      <c r="AZM19" s="49"/>
      <c r="AZN19" s="42">
        <f t="shared" si="462"/>
        <v>0</v>
      </c>
      <c r="AZO19" s="43">
        <f t="shared" si="463"/>
        <v>0</v>
      </c>
      <c r="AZP19" s="48"/>
      <c r="AZQ19" s="49"/>
      <c r="AZR19" s="49"/>
      <c r="AZS19" s="49"/>
      <c r="AZT19" s="49"/>
      <c r="AZU19" s="49"/>
      <c r="AZV19" s="42">
        <f t="shared" si="464"/>
        <v>0</v>
      </c>
      <c r="AZW19" s="43">
        <f t="shared" si="465"/>
        <v>0</v>
      </c>
      <c r="AZX19" s="82"/>
      <c r="AZY19" s="83"/>
      <c r="AZZ19" s="83"/>
      <c r="BAA19" s="83"/>
      <c r="BAB19" s="83"/>
      <c r="BAC19" s="83"/>
      <c r="BAD19" s="42">
        <f t="shared" si="466"/>
        <v>0</v>
      </c>
      <c r="BAE19" s="43">
        <f t="shared" si="467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8"/>
        <v>233</v>
      </c>
      <c r="BAM19" s="43">
        <f t="shared" si="469"/>
        <v>38.833333333333336</v>
      </c>
      <c r="BAN19" s="48"/>
      <c r="BAO19" s="49"/>
      <c r="BAP19" s="49"/>
      <c r="BAQ19" s="49"/>
      <c r="BAR19" s="49"/>
      <c r="BAS19" s="49"/>
      <c r="BAT19" s="42">
        <f t="shared" si="470"/>
        <v>0</v>
      </c>
      <c r="BAU19" s="43">
        <f t="shared" si="471"/>
        <v>0</v>
      </c>
      <c r="BAV19" s="48"/>
      <c r="BAW19" s="49"/>
      <c r="BAX19" s="49"/>
      <c r="BAY19" s="49"/>
      <c r="BAZ19" s="49"/>
      <c r="BBA19" s="49"/>
      <c r="BBB19" s="42">
        <f t="shared" si="472"/>
        <v>0</v>
      </c>
      <c r="BBC19" s="43">
        <f t="shared" si="473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4"/>
        <v>110</v>
      </c>
      <c r="BBK19" s="43">
        <f t="shared" si="475"/>
        <v>18.333333333333332</v>
      </c>
      <c r="BBL19" s="48"/>
      <c r="BBM19" s="49"/>
      <c r="BBN19" s="49"/>
      <c r="BBO19" s="49"/>
      <c r="BBP19" s="49"/>
      <c r="BBQ19" s="49"/>
      <c r="BBR19" s="42">
        <f t="shared" si="476"/>
        <v>0</v>
      </c>
      <c r="BBS19" s="43">
        <f t="shared" si="477"/>
        <v>0</v>
      </c>
      <c r="BBT19" s="48"/>
      <c r="BBU19" s="49"/>
      <c r="BBV19" s="49"/>
      <c r="BBW19" s="49"/>
      <c r="BBX19" s="49"/>
      <c r="BBY19" s="49"/>
      <c r="BBZ19" s="42">
        <f t="shared" si="478"/>
        <v>0</v>
      </c>
      <c r="BCA19" s="43">
        <f t="shared" si="479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80"/>
        <v>220</v>
      </c>
      <c r="BCI19" s="43">
        <f t="shared" si="481"/>
        <v>36.666666666666664</v>
      </c>
      <c r="BCJ19" s="48"/>
      <c r="BCK19" s="49"/>
      <c r="BCL19" s="49"/>
      <c r="BCM19" s="49"/>
      <c r="BCN19" s="49"/>
      <c r="BCO19" s="49"/>
      <c r="BCP19" s="42">
        <f t="shared" si="482"/>
        <v>0</v>
      </c>
      <c r="BCQ19" s="43">
        <f t="shared" si="483"/>
        <v>0</v>
      </c>
      <c r="BCR19" s="48"/>
      <c r="BCS19" s="49"/>
      <c r="BCT19" s="49"/>
      <c r="BCU19" s="49"/>
      <c r="BCV19" s="49"/>
      <c r="BCW19" s="49"/>
      <c r="BCX19" s="42">
        <f t="shared" si="484"/>
        <v>0</v>
      </c>
      <c r="BCY19" s="43">
        <f t="shared" si="485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6"/>
        <v>220</v>
      </c>
      <c r="BDG19" s="43">
        <f t="shared" si="487"/>
        <v>36.666666666666664</v>
      </c>
      <c r="BDH19" s="48"/>
      <c r="BDI19" s="49"/>
      <c r="BDJ19" s="49"/>
      <c r="BDK19" s="49"/>
      <c r="BDL19" s="49"/>
      <c r="BDM19" s="49"/>
      <c r="BDN19" s="42">
        <f t="shared" si="488"/>
        <v>0</v>
      </c>
      <c r="BDO19" s="43">
        <f t="shared" si="489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90"/>
        <v>109</v>
      </c>
      <c r="BDW19" s="43">
        <f t="shared" si="491"/>
        <v>18.166666666666668</v>
      </c>
      <c r="BDX19" s="48"/>
      <c r="BDY19" s="49"/>
      <c r="BDZ19" s="49"/>
      <c r="BEA19" s="49"/>
      <c r="BEB19" s="49"/>
      <c r="BEC19" s="49"/>
      <c r="BED19" s="42">
        <f t="shared" si="492"/>
        <v>0</v>
      </c>
      <c r="BEE19" s="43">
        <f t="shared" si="493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4"/>
        <v>220</v>
      </c>
      <c r="BEM19" s="43">
        <f t="shared" si="495"/>
        <v>36.666666666666664</v>
      </c>
      <c r="BEN19" s="48"/>
      <c r="BEO19" s="49"/>
      <c r="BEP19" s="49"/>
      <c r="BEQ19" s="49"/>
      <c r="BER19" s="49"/>
      <c r="BES19" s="49"/>
      <c r="BET19" s="42">
        <f t="shared" si="496"/>
        <v>0</v>
      </c>
      <c r="BEU19" s="43">
        <f t="shared" si="497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8"/>
        <v>110</v>
      </c>
      <c r="BFC19" s="43">
        <f t="shared" si="499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500"/>
        <v>110</v>
      </c>
      <c r="BFK19" s="43">
        <f t="shared" si="501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2"/>
        <v>110</v>
      </c>
      <c r="BFS19" s="43">
        <f t="shared" si="503"/>
        <v>18.333333333333332</v>
      </c>
      <c r="BFT19" s="48"/>
      <c r="BFU19" s="49"/>
      <c r="BFV19" s="49"/>
      <c r="BFW19" s="49"/>
      <c r="BFX19" s="49"/>
      <c r="BFY19" s="49"/>
      <c r="BFZ19" s="42">
        <f t="shared" si="504"/>
        <v>0</v>
      </c>
      <c r="BGA19" s="43">
        <f t="shared" si="505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6"/>
        <v>220</v>
      </c>
      <c r="BGI19" s="43">
        <f t="shared" si="507"/>
        <v>36.666666666666664</v>
      </c>
      <c r="BGJ19" s="48"/>
      <c r="BGK19" s="49"/>
      <c r="BGL19" s="49"/>
      <c r="BGM19" s="49"/>
      <c r="BGN19" s="49"/>
      <c r="BGO19" s="49"/>
      <c r="BGP19" s="42">
        <f t="shared" si="508"/>
        <v>0</v>
      </c>
      <c r="BGQ19" s="43">
        <f t="shared" si="509"/>
        <v>0</v>
      </c>
      <c r="BGR19" s="48"/>
      <c r="BGS19" s="49"/>
      <c r="BGT19" s="49"/>
      <c r="BGU19" s="49"/>
      <c r="BGV19" s="49"/>
      <c r="BGW19" s="49"/>
      <c r="BGX19" s="42">
        <f t="shared" si="510"/>
        <v>0</v>
      </c>
      <c r="BGY19" s="43">
        <f t="shared" si="511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2"/>
        <v>220</v>
      </c>
      <c r="BHG19" s="43">
        <f t="shared" si="513"/>
        <v>36.666666666666664</v>
      </c>
      <c r="BHH19" s="63"/>
      <c r="BHI19" s="64"/>
      <c r="BHJ19" s="64"/>
      <c r="BHK19" s="64"/>
      <c r="BHL19" s="64"/>
      <c r="BHM19" s="64"/>
      <c r="BHN19" s="42">
        <f t="shared" si="514"/>
        <v>0</v>
      </c>
      <c r="BHO19" s="43">
        <f t="shared" si="515"/>
        <v>0</v>
      </c>
      <c r="BHP19" s="48"/>
      <c r="BHQ19" s="49"/>
      <c r="BHR19" s="49"/>
      <c r="BHS19" s="49"/>
      <c r="BHT19" s="49"/>
      <c r="BHU19" s="49"/>
      <c r="BHV19" s="42">
        <f t="shared" si="516"/>
        <v>0</v>
      </c>
      <c r="BHW19" s="43">
        <f t="shared" si="517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8"/>
        <v>221</v>
      </c>
      <c r="BIE19" s="43">
        <f t="shared" si="519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20"/>
        <v>220</v>
      </c>
      <c r="BIM19" s="43">
        <f t="shared" si="521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2"/>
        <v>220</v>
      </c>
      <c r="BIU19" s="43">
        <f t="shared" si="523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4"/>
        <v>222</v>
      </c>
      <c r="BJC19" s="43">
        <f t="shared" si="525"/>
        <v>37</v>
      </c>
      <c r="BJD19" s="48"/>
      <c r="BJE19" s="49"/>
      <c r="BJF19" s="49"/>
      <c r="BJG19" s="49"/>
      <c r="BJH19" s="49"/>
      <c r="BJI19" s="49"/>
      <c r="BJJ19" s="42">
        <f t="shared" si="526"/>
        <v>0</v>
      </c>
      <c r="BJK19" s="43">
        <f t="shared" si="527"/>
        <v>0</v>
      </c>
      <c r="BJL19" s="48"/>
      <c r="BJM19" s="49"/>
      <c r="BJN19" s="49"/>
      <c r="BJO19" s="49"/>
      <c r="BJP19" s="49"/>
      <c r="BJQ19" s="49"/>
      <c r="BJR19" s="42">
        <f t="shared" si="528"/>
        <v>0</v>
      </c>
      <c r="BJS19" s="43">
        <f t="shared" si="529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30"/>
        <v>252</v>
      </c>
      <c r="BKA19" s="43">
        <f t="shared" si="531"/>
        <v>50.4</v>
      </c>
      <c r="BKB19" s="48"/>
      <c r="BKC19" s="49"/>
      <c r="BKD19" s="49"/>
      <c r="BKE19" s="49"/>
      <c r="BKF19" s="49"/>
      <c r="BKG19" s="49"/>
      <c r="BKH19" s="67">
        <f t="shared" si="532"/>
        <v>0</v>
      </c>
      <c r="BKI19" s="68">
        <f t="shared" si="533"/>
        <v>0</v>
      </c>
      <c r="BKJ19" s="48"/>
      <c r="BKK19" s="49"/>
      <c r="BKL19" s="49"/>
      <c r="BKM19" s="49"/>
      <c r="BKN19" s="49"/>
      <c r="BKO19" s="49"/>
      <c r="BKP19" s="42">
        <f t="shared" si="534"/>
        <v>0</v>
      </c>
      <c r="BKQ19" s="43">
        <f t="shared" si="535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6"/>
        <v>221</v>
      </c>
      <c r="BKY19" s="43">
        <f t="shared" si="537"/>
        <v>36.833333333333336</v>
      </c>
      <c r="BKZ19" s="48"/>
      <c r="BLA19" s="49"/>
      <c r="BLB19" s="49"/>
      <c r="BLC19" s="49"/>
      <c r="BLD19" s="49"/>
      <c r="BLE19" s="49"/>
      <c r="BLF19" s="42">
        <f t="shared" si="538"/>
        <v>0</v>
      </c>
      <c r="BLG19" s="43">
        <f t="shared" si="539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40"/>
        <v>108</v>
      </c>
      <c r="BLO19" s="43">
        <f t="shared" si="541"/>
        <v>18</v>
      </c>
      <c r="BLP19" s="48"/>
      <c r="BLQ19" s="49"/>
      <c r="BLR19" s="49"/>
      <c r="BLS19" s="49"/>
      <c r="BLT19" s="49"/>
      <c r="BLU19" s="49"/>
      <c r="BLV19" s="42">
        <f t="shared" si="542"/>
        <v>0</v>
      </c>
      <c r="BLW19" s="43">
        <f t="shared" si="543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4"/>
        <v>125</v>
      </c>
      <c r="BME19" s="43">
        <f t="shared" si="545"/>
        <v>20.833333333333332</v>
      </c>
      <c r="BMF19" s="48"/>
      <c r="BMG19" s="49"/>
      <c r="BMH19" s="49"/>
      <c r="BMI19" s="49"/>
      <c r="BMJ19" s="49"/>
      <c r="BMK19" s="49"/>
      <c r="BML19" s="42">
        <f t="shared" si="546"/>
        <v>0</v>
      </c>
      <c r="BMM19" s="43">
        <f t="shared" si="547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8"/>
        <v>220</v>
      </c>
      <c r="BMU19" s="43">
        <f t="shared" si="549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50"/>
        <v>110</v>
      </c>
      <c r="BNC19" s="43">
        <f t="shared" si="551"/>
        <v>18.333333333333332</v>
      </c>
      <c r="BND19" s="48"/>
      <c r="BNE19" s="49"/>
      <c r="BNF19" s="49"/>
      <c r="BNG19" s="49"/>
      <c r="BNH19" s="49"/>
      <c r="BNI19" s="49"/>
      <c r="BNJ19" s="42">
        <f t="shared" si="552"/>
        <v>0</v>
      </c>
      <c r="BNK19" s="43">
        <f t="shared" si="553"/>
        <v>0</v>
      </c>
      <c r="BNL19" s="48"/>
      <c r="BNM19" s="49"/>
      <c r="BNN19" s="49"/>
      <c r="BNO19" s="49"/>
      <c r="BNP19" s="49"/>
      <c r="BNQ19" s="49"/>
      <c r="BNR19" s="42">
        <f t="shared" si="554"/>
        <v>0</v>
      </c>
      <c r="BNS19" s="43">
        <f t="shared" si="555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6"/>
        <v>111</v>
      </c>
      <c r="BOA19" s="43">
        <f t="shared" si="557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8"/>
        <v>120</v>
      </c>
      <c r="BOI19" s="43">
        <f t="shared" si="559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60"/>
        <v>215</v>
      </c>
      <c r="BOQ19" s="43">
        <f t="shared" si="561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2"/>
        <v>335</v>
      </c>
      <c r="BOY19" s="43">
        <f t="shared" si="563"/>
        <v>55.833333333333336</v>
      </c>
      <c r="BOZ19" s="63"/>
      <c r="BPA19" s="64"/>
      <c r="BPB19" s="64"/>
      <c r="BPC19" s="64"/>
      <c r="BPD19" s="64"/>
      <c r="BPE19" s="64"/>
      <c r="BPF19" s="42">
        <f t="shared" si="564"/>
        <v>0</v>
      </c>
      <c r="BPG19" s="43">
        <f t="shared" si="565"/>
        <v>0</v>
      </c>
      <c r="BPH19" s="48"/>
      <c r="BPI19" s="49"/>
      <c r="BPJ19" s="49"/>
      <c r="BPK19" s="49"/>
      <c r="BPL19" s="49"/>
      <c r="BPM19" s="49"/>
      <c r="BPN19" s="42">
        <f t="shared" si="566"/>
        <v>0</v>
      </c>
      <c r="BPO19" s="43">
        <f t="shared" si="567"/>
        <v>0</v>
      </c>
      <c r="BPP19" s="48"/>
      <c r="BPQ19" s="49"/>
      <c r="BPR19" s="49"/>
      <c r="BPS19" s="49"/>
      <c r="BPT19" s="49"/>
      <c r="BPU19" s="49"/>
      <c r="BPV19" s="42">
        <f t="shared" si="568"/>
        <v>0</v>
      </c>
      <c r="BPW19" s="43">
        <f t="shared" si="569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70"/>
        <v>219</v>
      </c>
      <c r="BQE19" s="43">
        <f t="shared" si="571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2"/>
        <v>336</v>
      </c>
      <c r="BQM19" s="43">
        <f t="shared" si="573"/>
        <v>56</v>
      </c>
      <c r="BQN19" s="63"/>
      <c r="BQO19" s="64"/>
      <c r="BQP19" s="64"/>
      <c r="BQQ19" s="64"/>
      <c r="BQR19" s="64"/>
      <c r="BQS19" s="64"/>
      <c r="BQT19" s="67">
        <f t="shared" si="574"/>
        <v>0</v>
      </c>
      <c r="BQU19" s="43">
        <f t="shared" si="575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6"/>
        <v>100</v>
      </c>
      <c r="BRC19" s="43">
        <f t="shared" si="577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8"/>
        <v>110</v>
      </c>
      <c r="BRK19" s="43">
        <f t="shared" si="579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80"/>
        <v>220</v>
      </c>
      <c r="BRS19" s="68">
        <f t="shared" si="581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2"/>
        <v>217</v>
      </c>
      <c r="BSA19" s="43">
        <f t="shared" si="583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4"/>
        <v>110</v>
      </c>
      <c r="BSI19" s="43">
        <f t="shared" si="585"/>
        <v>18.333333333333332</v>
      </c>
      <c r="BSJ19" s="63"/>
      <c r="BSK19" s="64"/>
      <c r="BSL19" s="64"/>
      <c r="BSM19" s="64"/>
      <c r="BSN19" s="64"/>
      <c r="BSO19" s="64"/>
      <c r="BSP19" s="67">
        <f t="shared" si="586"/>
        <v>0</v>
      </c>
      <c r="BSQ19" s="43">
        <f t="shared" si="587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8"/>
        <v>220</v>
      </c>
      <c r="BSY19" s="43">
        <f t="shared" si="589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90"/>
        <v>216</v>
      </c>
      <c r="BTG19" s="43">
        <f t="shared" si="591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2"/>
        <v>109</v>
      </c>
      <c r="BTO19" s="68">
        <f t="shared" si="593"/>
        <v>18.166666666666668</v>
      </c>
      <c r="BTP19" s="48"/>
      <c r="BTQ19" s="49"/>
      <c r="BTR19" s="49"/>
      <c r="BTS19" s="49"/>
      <c r="BTT19" s="49"/>
      <c r="BTU19" s="49"/>
      <c r="BTV19" s="67">
        <f t="shared" si="594"/>
        <v>0</v>
      </c>
      <c r="BTW19" s="43">
        <f t="shared" si="595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6"/>
        <v>108</v>
      </c>
      <c r="BUE19" s="68">
        <f t="shared" si="597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8"/>
        <v>95</v>
      </c>
      <c r="BUM19" s="68">
        <f t="shared" si="599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600"/>
        <v>95</v>
      </c>
      <c r="BUU19" s="68">
        <f t="shared" si="601"/>
        <v>15.833333333333334</v>
      </c>
      <c r="BUV19" s="48"/>
      <c r="BUW19" s="49"/>
      <c r="BUX19" s="49"/>
      <c r="BUY19" s="49"/>
      <c r="BUZ19" s="49"/>
      <c r="BVA19" s="49"/>
      <c r="BVB19" s="67">
        <f t="shared" si="602"/>
        <v>0</v>
      </c>
      <c r="BVC19" s="68">
        <f t="shared" si="603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4"/>
        <v>108</v>
      </c>
      <c r="BVK19" s="68">
        <f t="shared" si="605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6"/>
        <v>100</v>
      </c>
      <c r="BVS19" s="68">
        <f t="shared" si="607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8"/>
        <v>205</v>
      </c>
      <c r="BWA19" s="68">
        <f t="shared" si="609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10"/>
        <v>110</v>
      </c>
      <c r="BWI19" s="68">
        <f t="shared" si="611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2"/>
        <v>112</v>
      </c>
      <c r="BWQ19" s="68">
        <f t="shared" si="613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4"/>
        <v>220</v>
      </c>
      <c r="BWY19" s="68">
        <f t="shared" si="615"/>
        <v>36.666666666666664</v>
      </c>
      <c r="BWZ19" s="48"/>
      <c r="BXA19" s="49"/>
      <c r="BXB19" s="49"/>
      <c r="BXC19" s="49"/>
      <c r="BXD19" s="49"/>
      <c r="BXE19" s="49"/>
      <c r="BXF19" s="67">
        <f t="shared" si="616"/>
        <v>0</v>
      </c>
      <c r="BXG19" s="68">
        <f t="shared" si="617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8"/>
        <v>110</v>
      </c>
      <c r="BXO19" s="68">
        <f t="shared" si="619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20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21"/>
        <v>80</v>
      </c>
      <c r="BYE19" s="68">
        <f t="shared" si="622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3"/>
        <v>180</v>
      </c>
      <c r="BYM19" s="68">
        <f t="shared" si="624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5"/>
        <v>133</v>
      </c>
      <c r="BYU19" s="68">
        <f t="shared" si="626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7"/>
        <v>110</v>
      </c>
      <c r="BZC19" s="68">
        <f t="shared" si="628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9"/>
        <v>222</v>
      </c>
      <c r="BZK19" s="68">
        <f t="shared" si="630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31"/>
        <v>201</v>
      </c>
      <c r="BZS19" s="68">
        <f t="shared" si="632"/>
        <v>33.5</v>
      </c>
      <c r="BZT19" s="48"/>
      <c r="BZU19" s="49"/>
      <c r="BZV19" s="49"/>
      <c r="BZW19" s="49"/>
      <c r="BZX19" s="49"/>
      <c r="BZY19" s="49"/>
      <c r="BZZ19" s="67">
        <f t="shared" si="633"/>
        <v>0</v>
      </c>
      <c r="CAA19" s="68">
        <f t="shared" si="634"/>
        <v>0</v>
      </c>
      <c r="CAB19" s="48"/>
      <c r="CAC19" s="49"/>
      <c r="CAD19" s="49"/>
      <c r="CAE19" s="49"/>
      <c r="CAF19" s="49"/>
      <c r="CAG19" s="49"/>
      <c r="CAH19" s="67">
        <f t="shared" si="635"/>
        <v>0</v>
      </c>
      <c r="CAI19" s="68">
        <f t="shared" si="636"/>
        <v>0</v>
      </c>
      <c r="CAJ19" s="63"/>
      <c r="CAK19" s="64"/>
      <c r="CAL19" s="64"/>
      <c r="CAM19" s="64"/>
      <c r="CAN19" s="64"/>
      <c r="CAO19" s="64"/>
      <c r="CAP19" s="67">
        <f t="shared" si="637"/>
        <v>0</v>
      </c>
      <c r="CAQ19" s="68">
        <f t="shared" si="638"/>
        <v>0</v>
      </c>
      <c r="CAR19" s="63"/>
      <c r="CAS19" s="64"/>
      <c r="CAT19" s="64"/>
      <c r="CAU19" s="64"/>
      <c r="CAV19" s="64"/>
      <c r="CAW19" s="64"/>
      <c r="CAX19" s="67">
        <f t="shared" si="639"/>
        <v>0</v>
      </c>
      <c r="CAY19" s="68">
        <f t="shared" si="640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41"/>
        <v>242</v>
      </c>
      <c r="CBG19" s="68">
        <f t="shared" si="642"/>
        <v>40.333333333333336</v>
      </c>
      <c r="CBH19" s="48"/>
      <c r="CBI19" s="49"/>
      <c r="CBJ19" s="49"/>
      <c r="CBK19" s="49"/>
      <c r="CBL19" s="49"/>
      <c r="CBM19" s="49"/>
      <c r="CBN19" s="67">
        <f t="shared" si="643"/>
        <v>0</v>
      </c>
      <c r="CBO19" s="68">
        <f t="shared" si="644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5"/>
        <v>330</v>
      </c>
      <c r="CBW19" s="68">
        <f t="shared" si="646"/>
        <v>55</v>
      </c>
      <c r="CBX19" s="48"/>
      <c r="CBY19" s="49"/>
      <c r="CBZ19" s="49"/>
      <c r="CCA19" s="49"/>
      <c r="CCB19" s="49"/>
      <c r="CCC19" s="49"/>
      <c r="CCD19" s="67">
        <f t="shared" si="647"/>
        <v>0</v>
      </c>
      <c r="CCE19" s="68">
        <f t="shared" si="648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9"/>
        <v>110</v>
      </c>
      <c r="CCM19" s="68">
        <f t="shared" si="650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51"/>
        <v>108</v>
      </c>
      <c r="CCU19" s="68">
        <f t="shared" si="652"/>
        <v>18</v>
      </c>
      <c r="CCV19" s="48"/>
      <c r="CCW19" s="49"/>
      <c r="CCX19" s="49"/>
      <c r="CCY19" s="49"/>
      <c r="CCZ19" s="49"/>
      <c r="CDA19" s="49"/>
      <c r="CDB19" s="67">
        <f t="shared" si="653"/>
        <v>0</v>
      </c>
      <c r="CDC19" s="68">
        <f t="shared" si="654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5"/>
        <v>221</v>
      </c>
      <c r="CDK19" s="68">
        <f t="shared" si="656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7"/>
        <v>111</v>
      </c>
      <c r="CDS19" s="68">
        <f t="shared" si="658"/>
        <v>18.5</v>
      </c>
      <c r="CDT19" s="48"/>
      <c r="CDU19" s="49"/>
      <c r="CDV19" s="49"/>
      <c r="CDW19" s="49"/>
      <c r="CDX19" s="49"/>
      <c r="CDY19" s="49"/>
      <c r="CDZ19" s="67">
        <f t="shared" si="659"/>
        <v>0</v>
      </c>
      <c r="CEA19" s="68">
        <f t="shared" si="660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61"/>
        <v>229</v>
      </c>
      <c r="CEI19" s="68">
        <f t="shared" si="662"/>
        <v>38.166666666666664</v>
      </c>
      <c r="CEJ19" s="48"/>
      <c r="CEK19" s="49"/>
      <c r="CEL19" s="49"/>
      <c r="CEM19" s="49"/>
      <c r="CEN19" s="49"/>
      <c r="CEO19" s="49"/>
      <c r="CEP19" s="67">
        <f t="shared" si="663"/>
        <v>0</v>
      </c>
      <c r="CEQ19" s="68">
        <f t="shared" si="664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5"/>
        <v>220</v>
      </c>
      <c r="CEY19" s="68">
        <f t="shared" si="666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7"/>
        <v>94</v>
      </c>
      <c r="CFG19" s="68">
        <f t="shared" si="668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9"/>
        <v>200</v>
      </c>
      <c r="CFO19" s="68">
        <f t="shared" si="670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71"/>
        <v>181</v>
      </c>
      <c r="CFW19" s="68">
        <f t="shared" si="672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3"/>
        <v>200</v>
      </c>
      <c r="CGE19" s="68">
        <f t="shared" si="674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5"/>
        <v>110</v>
      </c>
      <c r="CGM19" s="68">
        <f t="shared" si="676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7"/>
        <v>222</v>
      </c>
      <c r="CGU19" s="68">
        <f t="shared" si="678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9"/>
        <v>220</v>
      </c>
      <c r="CHC19" s="68">
        <f t="shared" si="680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81"/>
        <v>441</v>
      </c>
      <c r="CHK19" s="68">
        <f t="shared" si="682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3"/>
        <v>330</v>
      </c>
      <c r="CHS19" s="68">
        <f t="shared" si="684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5"/>
        <v>324</v>
      </c>
      <c r="CIA19" s="68">
        <f t="shared" si="686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7"/>
        <v>440</v>
      </c>
      <c r="CII19" s="68">
        <f t="shared" si="688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9"/>
        <v>320</v>
      </c>
      <c r="CIQ19" s="68">
        <f t="shared" si="690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91"/>
        <v>545</v>
      </c>
      <c r="CIY19" s="68">
        <f t="shared" si="692"/>
        <v>90.833333333333329</v>
      </c>
      <c r="CIZ19" s="48"/>
      <c r="CJA19" s="49"/>
      <c r="CJB19" s="49"/>
      <c r="CJC19" s="49"/>
      <c r="CJD19" s="49"/>
      <c r="CJE19" s="49"/>
      <c r="CJF19" s="67">
        <f t="shared" si="693"/>
        <v>0</v>
      </c>
      <c r="CJG19" s="68">
        <f t="shared" si="1206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4"/>
        <v>105</v>
      </c>
      <c r="CJO19" s="68">
        <f t="shared" si="695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6"/>
        <v>212</v>
      </c>
      <c r="CJW19" s="68">
        <f t="shared" si="697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8"/>
        <v>111</v>
      </c>
      <c r="CKE19" s="68">
        <f t="shared" si="699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700"/>
        <v>438</v>
      </c>
      <c r="CKM19" s="68">
        <f t="shared" si="701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2"/>
        <v>110</v>
      </c>
      <c r="CKU19" s="68">
        <f t="shared" si="703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4"/>
        <v>327</v>
      </c>
      <c r="CLC19" s="68">
        <f t="shared" si="705"/>
        <v>54.5</v>
      </c>
      <c r="CLD19" s="48"/>
      <c r="CLE19" s="49"/>
      <c r="CLF19" s="49"/>
      <c r="CLG19" s="49"/>
      <c r="CLH19" s="49"/>
      <c r="CLI19" s="49"/>
      <c r="CLJ19" s="67">
        <f t="shared" si="706"/>
        <v>0</v>
      </c>
      <c r="CLK19" s="68">
        <f t="shared" si="707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8"/>
        <v>100</v>
      </c>
      <c r="CLS19" s="68">
        <f t="shared" si="709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10"/>
        <v>212</v>
      </c>
      <c r="CMA19" s="68">
        <f t="shared" si="711"/>
        <v>35.333333333333336</v>
      </c>
      <c r="CMB19" s="48"/>
      <c r="CMC19" s="49"/>
      <c r="CMD19" s="49"/>
      <c r="CME19" s="49"/>
      <c r="CMF19" s="49"/>
      <c r="CMG19" s="49"/>
      <c r="CMH19" s="67">
        <f t="shared" si="712"/>
        <v>0</v>
      </c>
      <c r="CMI19" s="68">
        <f t="shared" si="713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4"/>
        <v>218</v>
      </c>
      <c r="CMQ19" s="68">
        <f t="shared" si="715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6"/>
        <v>189</v>
      </c>
      <c r="CMY19" s="68">
        <f t="shared" si="717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8"/>
        <v>218</v>
      </c>
      <c r="CNG19" s="68">
        <f t="shared" si="719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20"/>
        <v>220</v>
      </c>
      <c r="CNO19" s="68">
        <f t="shared" si="721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2"/>
        <v>220</v>
      </c>
      <c r="CNW19" s="68">
        <f t="shared" si="723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4"/>
        <v>109</v>
      </c>
      <c r="COE19" s="68">
        <f t="shared" si="725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6"/>
        <v>221</v>
      </c>
      <c r="COM19" s="68">
        <f t="shared" si="727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8"/>
        <v>219</v>
      </c>
      <c r="COU19" s="68">
        <f t="shared" si="729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30"/>
        <v>112</v>
      </c>
      <c r="CPC19" s="68">
        <f t="shared" si="731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2"/>
        <v>110</v>
      </c>
      <c r="CPK19" s="68">
        <f t="shared" si="733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4"/>
        <v>0</v>
      </c>
      <c r="CPS19" s="68">
        <f t="shared" si="735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6"/>
        <v>0</v>
      </c>
      <c r="CQA19" s="68">
        <f t="shared" si="737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8"/>
        <v>210</v>
      </c>
      <c r="CQI19" s="68">
        <f t="shared" si="739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40"/>
        <v>112</v>
      </c>
      <c r="CQQ19" s="68">
        <f t="shared" si="741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2"/>
        <v>0</v>
      </c>
      <c r="CQY19" s="68">
        <f t="shared" si="743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4"/>
        <v>109</v>
      </c>
      <c r="CRG19" s="68">
        <f t="shared" si="745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6"/>
        <v>110</v>
      </c>
      <c r="CRO19" s="68">
        <f t="shared" si="747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8"/>
        <v>0</v>
      </c>
      <c r="CRW19" s="68">
        <f t="shared" si="749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50"/>
        <v>104</v>
      </c>
      <c r="CSE19" s="68">
        <f t="shared" si="751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2"/>
        <v>110</v>
      </c>
      <c r="CSM19" s="68">
        <f t="shared" si="753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4"/>
        <v>0</v>
      </c>
      <c r="CSU19" s="68">
        <f t="shared" si="755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6"/>
        <v>227</v>
      </c>
      <c r="CTC19" s="68">
        <f t="shared" si="757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8"/>
        <v>115</v>
      </c>
      <c r="CTK19" s="68">
        <f t="shared" si="759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60"/>
        <v>110</v>
      </c>
      <c r="CTS19" s="68">
        <f t="shared" si="761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3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4"/>
        <v>223</v>
      </c>
      <c r="CUI19" s="68">
        <f t="shared" si="765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6"/>
        <v>80</v>
      </c>
      <c r="CUQ19" s="68">
        <f t="shared" si="767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8"/>
        <v>0</v>
      </c>
      <c r="CUY19" s="68">
        <f t="shared" si="769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70"/>
        <v>102</v>
      </c>
      <c r="CVG19" s="68">
        <f t="shared" si="771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2"/>
        <v>219</v>
      </c>
      <c r="CVO19" s="68">
        <f t="shared" si="773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4"/>
        <v>0</v>
      </c>
      <c r="CVW19" s="68">
        <f t="shared" si="775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6"/>
        <v>221</v>
      </c>
      <c r="CWE19" s="68">
        <f t="shared" si="777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8"/>
        <v>200</v>
      </c>
      <c r="CWM19" s="68">
        <f t="shared" si="779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80"/>
        <v>110</v>
      </c>
      <c r="CWU19" s="68">
        <f t="shared" si="781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2"/>
        <v>220</v>
      </c>
      <c r="CXC19" s="43">
        <f t="shared" si="783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4"/>
        <v>219</v>
      </c>
      <c r="CXK19" s="43">
        <f t="shared" si="785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6"/>
        <v>199</v>
      </c>
      <c r="CXS19" s="43">
        <f t="shared" si="787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8"/>
        <v>112</v>
      </c>
      <c r="CYA19" s="43">
        <f t="shared" si="789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90"/>
        <v>110</v>
      </c>
      <c r="CYI19" s="43">
        <f t="shared" si="791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2"/>
        <v>220</v>
      </c>
      <c r="CYQ19" s="43">
        <f t="shared" si="793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4"/>
        <v>463</v>
      </c>
      <c r="CYY19" s="43">
        <f t="shared" si="795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6"/>
        <v>0</v>
      </c>
      <c r="CZG19" s="43">
        <f t="shared" si="797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8"/>
        <v>202</v>
      </c>
      <c r="CZO19" s="43">
        <f t="shared" si="799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800"/>
        <v>220</v>
      </c>
      <c r="CZW19" s="43">
        <f t="shared" si="801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2"/>
        <v>330</v>
      </c>
      <c r="DAE19" s="68">
        <f t="shared" si="803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4"/>
        <v>113</v>
      </c>
      <c r="DAM19" s="68">
        <f t="shared" si="805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6"/>
        <v>331</v>
      </c>
      <c r="DAU19" s="68">
        <f t="shared" si="807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8"/>
        <v>330</v>
      </c>
      <c r="DBC19" s="68">
        <f t="shared" si="809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10"/>
        <v>439</v>
      </c>
      <c r="DBK19" s="68">
        <f t="shared" si="811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2"/>
        <v>219</v>
      </c>
      <c r="DBS19" s="68">
        <f t="shared" si="813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4"/>
        <v>331</v>
      </c>
      <c r="DCA19" s="68">
        <f t="shared" si="815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6"/>
        <v>221</v>
      </c>
      <c r="DCI19" s="68">
        <f t="shared" si="817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8"/>
        <v>220</v>
      </c>
      <c r="DCQ19" s="68">
        <f t="shared" si="819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20"/>
        <v>250</v>
      </c>
      <c r="DCY19" s="68">
        <f t="shared" si="821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2"/>
        <v>330</v>
      </c>
      <c r="DDG19" s="68">
        <f t="shared" si="823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4"/>
        <v>220</v>
      </c>
      <c r="DDO19" s="43">
        <f t="shared" si="825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6"/>
        <v>220</v>
      </c>
      <c r="DDW19" s="43">
        <f t="shared" si="827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8"/>
        <v>306</v>
      </c>
      <c r="DEE19" s="43">
        <f t="shared" si="829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30"/>
        <v>0</v>
      </c>
      <c r="DEM19" s="43">
        <f t="shared" si="831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2"/>
        <v>109</v>
      </c>
      <c r="DEU19" s="43">
        <f t="shared" si="833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4"/>
        <v>111</v>
      </c>
      <c r="DFC19" s="43">
        <f t="shared" si="835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6"/>
        <v>201</v>
      </c>
      <c r="DFK19" s="43">
        <f t="shared" si="837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8"/>
        <v>311</v>
      </c>
      <c r="DFS19" s="68">
        <f t="shared" si="839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40"/>
        <v>0</v>
      </c>
      <c r="DGA19" s="43">
        <f t="shared" si="841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2"/>
        <v>110</v>
      </c>
      <c r="DGI19" s="43">
        <f t="shared" si="843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4"/>
        <v>110</v>
      </c>
      <c r="DGQ19" s="68">
        <f t="shared" si="845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6"/>
        <v>358</v>
      </c>
      <c r="DGY19" s="68">
        <f t="shared" si="847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8"/>
        <v>220</v>
      </c>
      <c r="DHG19" s="68">
        <f t="shared" si="849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50"/>
        <v>110</v>
      </c>
      <c r="DHO19" s="68">
        <f t="shared" si="851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2"/>
        <v>111</v>
      </c>
      <c r="DHW19" s="68">
        <f t="shared" si="853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4"/>
        <v>333</v>
      </c>
      <c r="DIE19" s="68">
        <f t="shared" si="855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6"/>
        <v>109</v>
      </c>
      <c r="DIM19" s="68">
        <f t="shared" si="857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8"/>
        <v>102</v>
      </c>
      <c r="DIU19" s="68">
        <f t="shared" si="859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60"/>
        <v>110</v>
      </c>
      <c r="DJC19" s="68">
        <f t="shared" si="861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2"/>
        <v>110</v>
      </c>
      <c r="DJK19" s="68">
        <f t="shared" si="863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4"/>
        <v>241</v>
      </c>
      <c r="DJS19" s="68">
        <f t="shared" si="865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6"/>
        <v>186</v>
      </c>
      <c r="DKA19" s="68">
        <f t="shared" si="867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8"/>
        <v>211</v>
      </c>
      <c r="DKI19" s="68">
        <f t="shared" si="869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70"/>
        <v>110</v>
      </c>
      <c r="DKQ19" s="68">
        <f t="shared" si="871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2"/>
        <v>220</v>
      </c>
      <c r="DKY19" s="68">
        <f t="shared" si="873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4"/>
        <v>491</v>
      </c>
      <c r="DLG19" s="68">
        <f t="shared" si="875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6"/>
        <v>0</v>
      </c>
      <c r="DLO19" s="68">
        <f t="shared" si="877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8"/>
        <v>219</v>
      </c>
      <c r="DLW19" s="68">
        <f t="shared" si="879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80"/>
        <v>220</v>
      </c>
      <c r="DME19" s="68">
        <f t="shared" si="881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2"/>
        <v>160</v>
      </c>
      <c r="DMM19" s="68">
        <f t="shared" si="883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4"/>
        <v>220</v>
      </c>
      <c r="DMU19" s="68">
        <f t="shared" si="885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6"/>
        <v>320</v>
      </c>
      <c r="DNC19" s="68">
        <f t="shared" si="887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8"/>
        <v>206</v>
      </c>
      <c r="DNK19" s="68">
        <f t="shared" si="889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90"/>
        <v>110</v>
      </c>
      <c r="DNS19" s="68">
        <f t="shared" si="891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2"/>
        <v>222</v>
      </c>
      <c r="DOA19" s="68">
        <f t="shared" si="893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4"/>
        <v>224</v>
      </c>
      <c r="DOI19" s="68">
        <f t="shared" si="895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6"/>
        <v>341</v>
      </c>
      <c r="DOQ19" s="68">
        <f t="shared" si="897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8"/>
        <v>223</v>
      </c>
      <c r="DOY19" s="68">
        <f t="shared" si="899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900"/>
        <v>220</v>
      </c>
      <c r="DPG19" s="68">
        <f t="shared" si="901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2"/>
        <v>220</v>
      </c>
      <c r="DPO19" s="68">
        <f t="shared" si="903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4"/>
        <v>734</v>
      </c>
      <c r="DPW19" s="492">
        <f t="shared" si="905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6"/>
        <v>208</v>
      </c>
      <c r="DQE19" s="492">
        <f t="shared" si="907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8"/>
        <v>0</v>
      </c>
      <c r="DQM19" s="492">
        <f t="shared" si="909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10"/>
        <v>219</v>
      </c>
      <c r="DQU19" s="68">
        <f t="shared" si="911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2"/>
        <v>211</v>
      </c>
      <c r="DRC19" s="492">
        <f t="shared" si="913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4"/>
        <v>221</v>
      </c>
      <c r="DRK19" s="492">
        <f t="shared" si="915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6"/>
        <v>220</v>
      </c>
      <c r="DRS19" s="68">
        <f t="shared" si="917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8"/>
        <v>219</v>
      </c>
      <c r="DSA19" s="68">
        <f t="shared" si="919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20"/>
        <v>219</v>
      </c>
      <c r="DSI19" s="68">
        <f t="shared" si="921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2"/>
        <v>110</v>
      </c>
      <c r="DSQ19" s="68">
        <f t="shared" si="923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4"/>
        <v>0</v>
      </c>
      <c r="DSY19" s="68">
        <f t="shared" si="925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6"/>
        <v>220</v>
      </c>
      <c r="DTG19" s="68">
        <f t="shared" si="927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8"/>
        <v>221</v>
      </c>
      <c r="DTO19" s="68">
        <f t="shared" si="929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30"/>
        <v>336</v>
      </c>
      <c r="DTW19" s="68">
        <f t="shared" si="931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2"/>
        <v>228</v>
      </c>
      <c r="DUE19" s="68">
        <f t="shared" si="933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4"/>
        <v>0</v>
      </c>
      <c r="DUM19" s="68">
        <f t="shared" si="935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6"/>
        <v>311</v>
      </c>
      <c r="DUU19" s="184">
        <f t="shared" si="937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8"/>
        <v>188</v>
      </c>
      <c r="DVC19" s="68">
        <f t="shared" si="939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40"/>
        <v>232</v>
      </c>
      <c r="DVK19" s="68">
        <f t="shared" si="941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2"/>
        <v>220</v>
      </c>
      <c r="DVS19" s="68">
        <f t="shared" si="943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4"/>
        <v>222</v>
      </c>
      <c r="DWA19" s="68">
        <f t="shared" si="945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6"/>
        <v>110</v>
      </c>
      <c r="DWI19" s="68">
        <f t="shared" si="947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8"/>
        <v>220</v>
      </c>
      <c r="DWQ19" s="68">
        <f t="shared" si="949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50"/>
        <v>110</v>
      </c>
      <c r="DWY19" s="68">
        <f t="shared" si="1207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51"/>
        <v>222</v>
      </c>
      <c r="DXG19" s="68">
        <f t="shared" si="952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3"/>
        <v>110</v>
      </c>
      <c r="DXO19" s="68">
        <f t="shared" si="954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5"/>
        <v>220</v>
      </c>
      <c r="DXW19" s="68">
        <f t="shared" si="956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7"/>
        <v>330</v>
      </c>
      <c r="DYE19" s="68">
        <f t="shared" si="958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9"/>
        <v>219</v>
      </c>
      <c r="DYM19" s="68">
        <f t="shared" si="960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61"/>
        <v>220</v>
      </c>
      <c r="DYU19" s="68">
        <f t="shared" si="962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3"/>
        <v>99</v>
      </c>
      <c r="DZC19" s="68">
        <f t="shared" si="964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5"/>
        <v>104</v>
      </c>
      <c r="DZK19" s="68">
        <f t="shared" si="966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7"/>
        <v>0</v>
      </c>
      <c r="DZS19" s="68">
        <f t="shared" si="968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9"/>
        <v>200</v>
      </c>
      <c r="EAA19" s="68">
        <f t="shared" si="970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71"/>
        <v>200</v>
      </c>
      <c r="EAI19" s="68">
        <f t="shared" si="972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3"/>
        <v>1</v>
      </c>
      <c r="EAQ19" s="68">
        <f t="shared" si="1208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4"/>
        <v>444</v>
      </c>
      <c r="EAY19" s="68">
        <f t="shared" si="975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6"/>
        <v>183</v>
      </c>
      <c r="EBG19" s="68">
        <f t="shared" si="977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8"/>
        <v>220</v>
      </c>
      <c r="EBO19" s="68">
        <f t="shared" si="1137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9"/>
        <v>110</v>
      </c>
      <c r="EBW19" s="68">
        <f t="shared" si="980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81"/>
        <v>330</v>
      </c>
      <c r="ECE19" s="68">
        <f t="shared" si="982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3"/>
        <v>231</v>
      </c>
      <c r="ECM19" s="68">
        <f t="shared" si="984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5"/>
        <v>220</v>
      </c>
      <c r="ECU19" s="68">
        <f t="shared" si="986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7"/>
        <v>301</v>
      </c>
      <c r="EDC19" s="68">
        <f t="shared" si="988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9"/>
        <v>439</v>
      </c>
      <c r="EDK19" s="68">
        <f t="shared" si="990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91"/>
        <v>220</v>
      </c>
      <c r="EDS19" s="184">
        <f t="shared" si="992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3"/>
        <v>216</v>
      </c>
      <c r="EEA19" s="184">
        <f t="shared" si="994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5"/>
        <v>440</v>
      </c>
      <c r="EEI19" s="68">
        <f t="shared" si="996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7"/>
        <v>110</v>
      </c>
      <c r="EEQ19" s="68">
        <f t="shared" si="998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9"/>
        <v>330</v>
      </c>
      <c r="EEY19" s="68">
        <f t="shared" si="1000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1001"/>
        <v>600</v>
      </c>
      <c r="EFG19" s="68">
        <f t="shared" si="1002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3"/>
        <v>0</v>
      </c>
      <c r="EFO19" s="68">
        <f t="shared" si="1004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5"/>
        <v>220</v>
      </c>
      <c r="EFW19" s="68">
        <f t="shared" si="1006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7"/>
        <v>0</v>
      </c>
      <c r="EGE19" s="68">
        <f t="shared" si="1008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9"/>
        <v>220</v>
      </c>
      <c r="EGM19" s="68">
        <f t="shared" si="1010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11"/>
        <v>110</v>
      </c>
      <c r="EGU19" s="68">
        <f t="shared" si="1209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2"/>
        <v>225</v>
      </c>
      <c r="EHC19" s="68">
        <f t="shared" si="1013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4"/>
        <v>340</v>
      </c>
      <c r="EHK19" s="68">
        <f t="shared" si="1015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6"/>
        <v>0</v>
      </c>
      <c r="EHS19" s="68">
        <f t="shared" si="1017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8"/>
        <v>228</v>
      </c>
      <c r="EIA19" s="68">
        <f t="shared" si="1019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20"/>
        <v>218</v>
      </c>
      <c r="EII19" s="68">
        <f t="shared" si="1021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2"/>
        <v>452</v>
      </c>
      <c r="EIQ19" s="68">
        <f t="shared" si="1023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4"/>
        <v>0</v>
      </c>
      <c r="EIY19" s="68">
        <f t="shared" si="1025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6"/>
        <v>225</v>
      </c>
      <c r="EJG19" s="68">
        <f t="shared" si="1027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8"/>
        <v>223</v>
      </c>
      <c r="EJO19" s="68">
        <f t="shared" si="1029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30"/>
        <v>313</v>
      </c>
      <c r="EJW19" s="68">
        <f t="shared" si="1031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2"/>
        <v>0</v>
      </c>
      <c r="EKE19" s="68">
        <f t="shared" si="1033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4"/>
        <v>222</v>
      </c>
      <c r="EKM19" s="68">
        <f t="shared" si="1035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6"/>
        <v>432</v>
      </c>
      <c r="EKU19" s="184">
        <f t="shared" si="1037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8"/>
        <v>222</v>
      </c>
      <c r="ELD19" s="211">
        <f t="shared" si="1039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40"/>
        <v>222</v>
      </c>
      <c r="ELL19" s="211">
        <f t="shared" si="1041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2"/>
        <v>328</v>
      </c>
      <c r="ELT19" s="211">
        <f t="shared" si="1043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4"/>
        <v>342</v>
      </c>
      <c r="EMB19" s="211">
        <f t="shared" si="1045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6"/>
        <v>119</v>
      </c>
      <c r="EMJ19" s="211">
        <f t="shared" si="1047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8"/>
        <v>185</v>
      </c>
      <c r="EMR19" s="211">
        <f t="shared" si="1049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50"/>
        <v>328</v>
      </c>
      <c r="EMZ19" s="211">
        <f t="shared" si="1051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2"/>
        <v>0</v>
      </c>
      <c r="ENH19" s="211">
        <f t="shared" si="1053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4"/>
        <v>340</v>
      </c>
      <c r="ENP19" s="211">
        <f t="shared" si="1055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6"/>
        <v>209</v>
      </c>
      <c r="ENX19" s="211">
        <f t="shared" si="1057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8"/>
        <v>225</v>
      </c>
      <c r="EOF19" s="211">
        <f t="shared" si="1059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60"/>
        <v>0</v>
      </c>
      <c r="EON19" s="211">
        <f t="shared" si="1061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2"/>
        <v>114</v>
      </c>
      <c r="EOV19" s="211">
        <f t="shared" si="1063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4"/>
        <v>110</v>
      </c>
      <c r="EPD19" s="211">
        <f t="shared" si="1065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6"/>
        <v>436</v>
      </c>
      <c r="EPL19" s="211">
        <f t="shared" si="1067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8"/>
        <v>202</v>
      </c>
      <c r="EPT19" s="211">
        <f t="shared" si="1069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70"/>
        <v>192</v>
      </c>
      <c r="EQB19" s="211">
        <f t="shared" si="1071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2"/>
        <v>442</v>
      </c>
      <c r="EQJ19" s="211">
        <f t="shared" si="1073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4"/>
        <v>222</v>
      </c>
      <c r="EQR19" s="211">
        <f t="shared" si="1075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6"/>
        <v>211</v>
      </c>
      <c r="EQZ19" s="211">
        <f t="shared" si="1077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8"/>
        <v>219</v>
      </c>
      <c r="ERH19" s="211">
        <f t="shared" si="1079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80"/>
        <v>329</v>
      </c>
      <c r="ERP19" s="211">
        <f t="shared" si="1081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2"/>
        <v>798</v>
      </c>
      <c r="ERX19" s="211">
        <f t="shared" si="1083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4"/>
        <v>0</v>
      </c>
      <c r="ESF19" s="211">
        <f t="shared" si="1085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6"/>
        <v>0</v>
      </c>
      <c r="ESN19" s="211">
        <f t="shared" si="1087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8"/>
        <v>221</v>
      </c>
      <c r="ESV19" s="211">
        <f t="shared" si="1089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90"/>
        <v>220</v>
      </c>
      <c r="ETD19" s="211">
        <f t="shared" si="1091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2"/>
        <v>0</v>
      </c>
      <c r="ETL19" s="211">
        <f t="shared" si="1093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4"/>
        <v>226</v>
      </c>
      <c r="ETT19" s="211">
        <f t="shared" si="1095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6"/>
        <v>437</v>
      </c>
      <c r="EUB19" s="211">
        <f t="shared" si="1097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8"/>
        <v>228</v>
      </c>
      <c r="EUJ19" s="211">
        <f t="shared" si="1099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100"/>
        <v>114</v>
      </c>
      <c r="EUR19" s="211">
        <f t="shared" si="1101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2"/>
        <v>454</v>
      </c>
      <c r="EUZ19" s="211">
        <f t="shared" si="1103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4"/>
        <v>0</v>
      </c>
      <c r="EVH19" s="211">
        <f t="shared" si="1105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6"/>
        <v>223</v>
      </c>
      <c r="EVP19" s="211">
        <f t="shared" si="1107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8"/>
        <v>162</v>
      </c>
      <c r="EVX19" s="211">
        <f t="shared" si="1109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10"/>
        <v>110</v>
      </c>
      <c r="EWF19" s="211">
        <f t="shared" si="1111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2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3"/>
        <v>210</v>
      </c>
      <c r="EWV19" s="211">
        <f t="shared" si="1114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5"/>
        <v>110</v>
      </c>
      <c r="EXD19" s="211">
        <f t="shared" si="1116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7"/>
        <v>109</v>
      </c>
      <c r="EXL19" s="211">
        <f t="shared" si="1118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9"/>
        <v>109</v>
      </c>
      <c r="EXT19" s="211">
        <f t="shared" si="1120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21"/>
        <v>220</v>
      </c>
      <c r="EYB19" s="211">
        <f t="shared" si="1122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3"/>
        <v>220</v>
      </c>
      <c r="EYJ19" s="211">
        <f t="shared" si="1124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5"/>
        <v>0</v>
      </c>
      <c r="EYR19" s="211">
        <f t="shared" si="1126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7"/>
        <v>219</v>
      </c>
      <c r="EYZ19" s="873">
        <f t="shared" si="1128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9"/>
        <v>328</v>
      </c>
      <c r="EZH19" s="873">
        <f t="shared" si="1130"/>
        <v>54.666666666666664</v>
      </c>
      <c r="EZI19" s="195"/>
      <c r="EZJ19" s="49"/>
      <c r="EZK19" s="49">
        <v>0</v>
      </c>
      <c r="EZL19" s="49">
        <v>0</v>
      </c>
      <c r="EZM19" s="49"/>
      <c r="EZN19" s="49">
        <v>0</v>
      </c>
      <c r="EZO19" s="872">
        <f t="shared" si="1131"/>
        <v>0</v>
      </c>
      <c r="EZP19" s="873">
        <f t="shared" si="1132"/>
        <v>0</v>
      </c>
      <c r="EZQ19" s="458"/>
      <c r="EZR19" s="83"/>
      <c r="EZS19" s="83"/>
      <c r="EZT19" s="83"/>
      <c r="EZU19" s="83"/>
      <c r="EZV19" s="83">
        <v>0</v>
      </c>
      <c r="EZW19" s="872">
        <f t="shared" si="1133"/>
        <v>0</v>
      </c>
      <c r="EZX19" s="873">
        <f t="shared" si="1134"/>
        <v>0</v>
      </c>
      <c r="EZY19" s="195"/>
      <c r="EZZ19" s="49">
        <v>112</v>
      </c>
      <c r="FAA19" s="49"/>
      <c r="FAB19" s="49"/>
      <c r="FAC19" s="49"/>
      <c r="FAD19" s="49"/>
      <c r="FAE19" s="872">
        <f t="shared" si="1135"/>
        <v>112</v>
      </c>
      <c r="FAF19" s="873">
        <f t="shared" si="1136"/>
        <v>18.666666666666668</v>
      </c>
    </row>
    <row r="20" spans="1:4088" s="8" customFormat="1" ht="15" customHeight="1" x14ac:dyDescent="0.2">
      <c r="A20" s="301">
        <v>14</v>
      </c>
      <c r="B20" s="21" t="s">
        <v>133</v>
      </c>
      <c r="C20" s="275" t="s">
        <v>292</v>
      </c>
      <c r="D20" s="21">
        <v>25</v>
      </c>
      <c r="E20" s="24"/>
      <c r="F20" s="24">
        <v>530</v>
      </c>
      <c r="G20" s="24"/>
      <c r="H20" s="24"/>
      <c r="I20" s="360"/>
      <c r="J20" s="360">
        <f>SUMIF(SUMPK!$B:$B,$B:$B,SUMPK!$O:$O)</f>
        <v>0</v>
      </c>
      <c r="K20" s="15">
        <f t="shared" si="1210"/>
        <v>0</v>
      </c>
      <c r="L20" s="24">
        <f t="shared" si="189"/>
        <v>530</v>
      </c>
      <c r="M20" s="24">
        <f t="shared" si="190"/>
        <v>530</v>
      </c>
      <c r="N20" s="15">
        <v>0</v>
      </c>
      <c r="O20" s="276">
        <f t="shared" si="1212"/>
        <v>0</v>
      </c>
      <c r="P20" s="712">
        <v>113.33333333333333</v>
      </c>
      <c r="Q20" s="276">
        <f t="shared" si="192"/>
        <v>28.058823529411768</v>
      </c>
      <c r="R20" s="277">
        <f t="shared" si="193"/>
        <v>36.92307692307692</v>
      </c>
      <c r="S20" s="222">
        <v>960</v>
      </c>
      <c r="T20" s="276">
        <f t="shared" si="1213"/>
        <v>14.354166666666668</v>
      </c>
      <c r="U20" s="303"/>
      <c r="V20" s="302">
        <f t="shared" si="1211"/>
        <v>14.354166666666668</v>
      </c>
      <c r="W20" s="304">
        <f t="shared" ref="W20" si="1214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6"/>
        <v>0</v>
      </c>
      <c r="KG20" s="43">
        <f t="shared" si="197"/>
        <v>0</v>
      </c>
      <c r="KH20" s="48"/>
      <c r="KI20" s="49"/>
      <c r="KJ20" s="49"/>
      <c r="KK20" s="49"/>
      <c r="KL20" s="49"/>
      <c r="KM20" s="49"/>
      <c r="KN20" s="67">
        <f t="shared" si="198"/>
        <v>0</v>
      </c>
      <c r="KO20" s="68">
        <f t="shared" si="199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200"/>
        <v>4269</v>
      </c>
      <c r="KW20" s="68">
        <f t="shared" si="201"/>
        <v>711.5</v>
      </c>
      <c r="KX20" s="48"/>
      <c r="KY20" s="49"/>
      <c r="KZ20" s="49"/>
      <c r="LA20" s="49"/>
      <c r="LB20" s="49"/>
      <c r="LC20" s="49"/>
      <c r="LD20" s="67">
        <f t="shared" si="202"/>
        <v>0</v>
      </c>
      <c r="LE20" s="68">
        <f t="shared" si="203"/>
        <v>0</v>
      </c>
      <c r="LF20" s="48"/>
      <c r="LG20" s="49"/>
      <c r="LH20" s="49"/>
      <c r="LI20" s="49"/>
      <c r="LJ20" s="49"/>
      <c r="LK20" s="49">
        <v>1972</v>
      </c>
      <c r="LL20" s="67">
        <f t="shared" si="204"/>
        <v>1972</v>
      </c>
      <c r="LM20" s="68">
        <f t="shared" si="205"/>
        <v>328.66666666666669</v>
      </c>
      <c r="LN20" s="48"/>
      <c r="LO20" s="49"/>
      <c r="LP20" s="49"/>
      <c r="LQ20" s="49"/>
      <c r="LR20" s="49"/>
      <c r="LS20" s="49"/>
      <c r="LT20" s="67">
        <f t="shared" si="206"/>
        <v>0</v>
      </c>
      <c r="LU20" s="68">
        <f t="shared" si="207"/>
        <v>0</v>
      </c>
      <c r="LV20" s="48"/>
      <c r="LW20" s="49"/>
      <c r="LX20" s="49">
        <v>2941</v>
      </c>
      <c r="LY20" s="49"/>
      <c r="LZ20" s="49"/>
      <c r="MA20" s="49"/>
      <c r="MB20" s="67">
        <f t="shared" si="208"/>
        <v>2941</v>
      </c>
      <c r="MC20" s="68">
        <f t="shared" si="209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10"/>
        <v>1341</v>
      </c>
      <c r="MK20" s="68">
        <f t="shared" si="211"/>
        <v>223.5</v>
      </c>
      <c r="ML20" s="48"/>
      <c r="MM20" s="49"/>
      <c r="MN20" s="49"/>
      <c r="MO20" s="49"/>
      <c r="MP20" s="49"/>
      <c r="MQ20" s="49"/>
      <c r="MR20" s="67">
        <f t="shared" si="212"/>
        <v>0</v>
      </c>
      <c r="MS20" s="68">
        <f t="shared" si="213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4"/>
        <v>3546</v>
      </c>
      <c r="NA20" s="68">
        <f t="shared" si="215"/>
        <v>591</v>
      </c>
      <c r="NB20" s="48"/>
      <c r="NC20" s="49"/>
      <c r="ND20" s="49"/>
      <c r="NE20" s="49"/>
      <c r="NF20" s="49"/>
      <c r="NG20" s="49"/>
      <c r="NH20" s="67">
        <f t="shared" si="216"/>
        <v>0</v>
      </c>
      <c r="NI20" s="68">
        <f t="shared" si="217"/>
        <v>0</v>
      </c>
      <c r="NJ20" s="48"/>
      <c r="NK20" s="49">
        <v>1534</v>
      </c>
      <c r="NL20" s="49"/>
      <c r="NM20" s="49"/>
      <c r="NN20" s="49"/>
      <c r="NO20" s="49"/>
      <c r="NP20" s="67">
        <f t="shared" si="218"/>
        <v>1534</v>
      </c>
      <c r="NQ20" s="68">
        <f t="shared" si="219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20"/>
        <v>1280</v>
      </c>
      <c r="NY20" s="68">
        <f t="shared" si="221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2"/>
        <v>4100</v>
      </c>
      <c r="OG20" s="68">
        <f t="shared" si="223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4"/>
        <v>368</v>
      </c>
      <c r="OO20" s="68">
        <f t="shared" si="225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6"/>
        <v>3306</v>
      </c>
      <c r="OW20" s="68">
        <f t="shared" si="227"/>
        <v>551</v>
      </c>
      <c r="OX20" s="48"/>
      <c r="OY20" s="49"/>
      <c r="OZ20" s="49"/>
      <c r="PA20" s="49"/>
      <c r="PB20" s="49"/>
      <c r="PC20" s="49"/>
      <c r="PD20" s="67">
        <f t="shared" si="228"/>
        <v>0</v>
      </c>
      <c r="PE20" s="68">
        <f t="shared" si="229"/>
        <v>0</v>
      </c>
      <c r="PF20" s="48"/>
      <c r="PG20" s="49"/>
      <c r="PH20" s="49"/>
      <c r="PI20" s="49"/>
      <c r="PJ20" s="49"/>
      <c r="PK20" s="49">
        <v>2476</v>
      </c>
      <c r="PL20" s="67">
        <f t="shared" si="230"/>
        <v>2476</v>
      </c>
      <c r="PM20" s="68">
        <f t="shared" si="231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2"/>
        <v>4203</v>
      </c>
      <c r="PU20" s="105">
        <f t="shared" si="233"/>
        <v>700.5</v>
      </c>
      <c r="PV20" s="106"/>
      <c r="PW20" s="107"/>
      <c r="PX20" s="107"/>
      <c r="PY20" s="107"/>
      <c r="PZ20" s="107"/>
      <c r="QA20" s="107"/>
      <c r="QB20" s="104">
        <f t="shared" si="234"/>
        <v>0</v>
      </c>
      <c r="QC20" s="105">
        <f t="shared" si="235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6"/>
        <v>3088</v>
      </c>
      <c r="QK20" s="105">
        <f t="shared" si="237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8"/>
        <v>1999</v>
      </c>
      <c r="QS20" s="105">
        <f t="shared" si="239"/>
        <v>333.16666666666669</v>
      </c>
      <c r="QT20" s="106"/>
      <c r="QU20" s="107"/>
      <c r="QV20" s="107"/>
      <c r="QW20" s="107"/>
      <c r="QX20" s="107"/>
      <c r="QY20" s="107"/>
      <c r="QZ20" s="104">
        <f t="shared" si="240"/>
        <v>0</v>
      </c>
      <c r="RA20" s="105">
        <f t="shared" si="241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2"/>
        <v>2946</v>
      </c>
      <c r="RI20" s="105">
        <f t="shared" si="243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4"/>
        <v>3783</v>
      </c>
      <c r="RQ20" s="105">
        <f t="shared" si="245"/>
        <v>630.5</v>
      </c>
      <c r="RR20" s="106"/>
      <c r="RS20" s="107"/>
      <c r="RT20" s="107"/>
      <c r="RU20" s="107"/>
      <c r="RV20" s="107"/>
      <c r="RW20" s="107"/>
      <c r="RX20" s="104">
        <f t="shared" si="246"/>
        <v>0</v>
      </c>
      <c r="RY20" s="105">
        <f t="shared" si="247"/>
        <v>0</v>
      </c>
      <c r="RZ20" s="106"/>
      <c r="SA20" s="107"/>
      <c r="SB20" s="107"/>
      <c r="SC20" s="107"/>
      <c r="SD20" s="107"/>
      <c r="SE20" s="107"/>
      <c r="SF20" s="104">
        <f t="shared" si="248"/>
        <v>0</v>
      </c>
      <c r="SG20" s="105">
        <f t="shared" si="249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50"/>
        <v>2975</v>
      </c>
      <c r="SO20" s="105">
        <f t="shared" si="251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2"/>
        <v>2760</v>
      </c>
      <c r="SW20" s="105">
        <f t="shared" si="253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4"/>
        <v>4025</v>
      </c>
      <c r="TE20" s="105">
        <f t="shared" si="255"/>
        <v>670.83333333333337</v>
      </c>
      <c r="TF20" s="106"/>
      <c r="TG20" s="107"/>
      <c r="TH20" s="107"/>
      <c r="TI20" s="107"/>
      <c r="TJ20" s="107"/>
      <c r="TK20" s="107"/>
      <c r="TL20" s="104">
        <f t="shared" si="256"/>
        <v>0</v>
      </c>
      <c r="TM20" s="105">
        <f t="shared" si="257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8"/>
        <v>2362</v>
      </c>
      <c r="TU20" s="105">
        <f t="shared" si="259"/>
        <v>393.66666666666669</v>
      </c>
      <c r="TV20" s="106"/>
      <c r="TW20" s="107"/>
      <c r="TX20" s="107"/>
      <c r="TY20" s="107"/>
      <c r="TZ20" s="107"/>
      <c r="UA20" s="107"/>
      <c r="UB20" s="104">
        <f t="shared" si="260"/>
        <v>0</v>
      </c>
      <c r="UC20" s="105">
        <f t="shared" si="261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2"/>
        <v>2574</v>
      </c>
      <c r="UK20" s="105">
        <f t="shared" si="263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4"/>
        <v>4518</v>
      </c>
      <c r="UT20" s="105">
        <f t="shared" si="265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6"/>
        <v>1538</v>
      </c>
      <c r="VB20" s="105">
        <f t="shared" si="267"/>
        <v>256.33333333333331</v>
      </c>
      <c r="VC20" s="106"/>
      <c r="VD20" s="107"/>
      <c r="VE20" s="107"/>
      <c r="VF20" s="107"/>
      <c r="VG20" s="107"/>
      <c r="VH20" s="107"/>
      <c r="VI20" s="104">
        <f t="shared" si="268"/>
        <v>0</v>
      </c>
      <c r="VJ20" s="105">
        <f t="shared" si="269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70"/>
        <v>3159</v>
      </c>
      <c r="VR20" s="105">
        <f t="shared" si="271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2"/>
        <v>2694</v>
      </c>
      <c r="VZ20" s="105">
        <f t="shared" si="273"/>
        <v>449</v>
      </c>
      <c r="WA20" s="63"/>
      <c r="WB20" s="64"/>
      <c r="WC20" s="64"/>
      <c r="WD20" s="64"/>
      <c r="WE20" s="64"/>
      <c r="WF20" s="64"/>
      <c r="WG20" s="67">
        <f t="shared" si="274"/>
        <v>0</v>
      </c>
      <c r="WH20" s="68">
        <f t="shared" si="275"/>
        <v>0</v>
      </c>
      <c r="WI20" s="48"/>
      <c r="WJ20" s="49"/>
      <c r="WK20" s="49">
        <v>3157</v>
      </c>
      <c r="WL20" s="49"/>
      <c r="WM20" s="49"/>
      <c r="WN20" s="49"/>
      <c r="WO20" s="67">
        <f t="shared" si="276"/>
        <v>3157</v>
      </c>
      <c r="WP20" s="68">
        <f t="shared" si="277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8"/>
        <v>3236</v>
      </c>
      <c r="WY20" s="68">
        <f t="shared" si="279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80"/>
        <v>2316</v>
      </c>
      <c r="XH20" s="68">
        <f t="shared" si="281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2"/>
        <v>0</v>
      </c>
      <c r="XQ20" s="105">
        <f t="shared" si="283"/>
        <v>0</v>
      </c>
      <c r="XR20" s="48"/>
      <c r="XS20" s="49"/>
      <c r="XT20" s="49"/>
      <c r="XU20" s="49"/>
      <c r="XV20" s="49"/>
      <c r="XW20" s="49"/>
      <c r="XX20" s="49"/>
      <c r="XY20" s="67">
        <f t="shared" si="284"/>
        <v>0</v>
      </c>
      <c r="XZ20" s="68">
        <f t="shared" si="285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6"/>
        <v>3268</v>
      </c>
      <c r="YI20" s="68">
        <f t="shared" si="287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8"/>
        <v>1736</v>
      </c>
      <c r="YR20" s="68">
        <f t="shared" si="289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90"/>
        <v>1098</v>
      </c>
      <c r="YZ20" s="68">
        <f t="shared" si="291"/>
        <v>183</v>
      </c>
      <c r="ZA20" s="48"/>
      <c r="ZB20" s="49"/>
      <c r="ZC20" s="49"/>
      <c r="ZD20" s="49"/>
      <c r="ZE20" s="49"/>
      <c r="ZF20" s="49"/>
      <c r="ZG20" s="67">
        <f t="shared" si="292"/>
        <v>0</v>
      </c>
      <c r="ZH20" s="68">
        <f t="shared" si="293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4"/>
        <v>3788</v>
      </c>
      <c r="ZP20" s="68">
        <f t="shared" si="295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6"/>
        <v>0</v>
      </c>
      <c r="ZY20" s="68">
        <f t="shared" si="297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8"/>
        <v>1501</v>
      </c>
      <c r="AAH20" s="68">
        <f t="shared" si="299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300"/>
        <v>2561</v>
      </c>
      <c r="AAP20" s="68">
        <f t="shared" si="301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2"/>
        <v>3261</v>
      </c>
      <c r="AAX20" s="68">
        <f t="shared" si="303"/>
        <v>543.5</v>
      </c>
      <c r="AAY20" s="48"/>
      <c r="AAZ20" s="49"/>
      <c r="ABA20" s="49"/>
      <c r="ABB20" s="49"/>
      <c r="ABC20" s="49"/>
      <c r="ABD20" s="49"/>
      <c r="ABE20" s="67">
        <f t="shared" si="304"/>
        <v>0</v>
      </c>
      <c r="ABF20" s="68">
        <f t="shared" si="305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6"/>
        <v>3353</v>
      </c>
      <c r="ABN20" s="68">
        <f t="shared" si="307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8"/>
        <v>2662</v>
      </c>
      <c r="ABV20" s="68">
        <f t="shared" si="309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10"/>
        <v>561</v>
      </c>
      <c r="ACD20" s="68">
        <f t="shared" si="311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2"/>
        <v>471</v>
      </c>
      <c r="ACL20" s="68">
        <f t="shared" si="313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4"/>
        <v>2997</v>
      </c>
      <c r="ACT20" s="68">
        <f t="shared" si="315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6"/>
        <v>888</v>
      </c>
      <c r="ADB20" s="68">
        <f t="shared" si="317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8"/>
        <v>2596</v>
      </c>
      <c r="ADJ20" s="68">
        <f t="shared" si="319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20"/>
        <v>2440</v>
      </c>
      <c r="ADR20" s="68">
        <f t="shared" si="321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2"/>
        <v>222</v>
      </c>
      <c r="ADZ20" s="68">
        <f t="shared" si="323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4"/>
        <v>1680</v>
      </c>
      <c r="AEH20" s="68">
        <f t="shared" si="325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6"/>
        <v>3434</v>
      </c>
      <c r="AEP20" s="68">
        <f t="shared" si="327"/>
        <v>572.33333333333337</v>
      </c>
      <c r="AEQ20" s="48"/>
      <c r="AER20" s="49"/>
      <c r="AES20" s="49"/>
      <c r="AET20" s="49"/>
      <c r="AEU20" s="49"/>
      <c r="AEV20" s="49"/>
      <c r="AEW20" s="67">
        <f t="shared" si="328"/>
        <v>0</v>
      </c>
      <c r="AEX20" s="68">
        <f t="shared" si="329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30"/>
        <v>2611</v>
      </c>
      <c r="AFF20" s="68">
        <f t="shared" si="331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2"/>
        <v>2511</v>
      </c>
      <c r="AFN20" s="68">
        <f t="shared" si="333"/>
        <v>418.5</v>
      </c>
      <c r="AFO20" s="48"/>
      <c r="AFP20" s="49"/>
      <c r="AFQ20" s="49"/>
      <c r="AFR20" s="49"/>
      <c r="AFS20" s="49"/>
      <c r="AFT20" s="49"/>
      <c r="AFU20" s="67">
        <f t="shared" si="334"/>
        <v>0</v>
      </c>
      <c r="AFV20" s="68">
        <f t="shared" si="335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6"/>
        <v>1139</v>
      </c>
      <c r="AGD20" s="68">
        <f t="shared" si="337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8"/>
        <v>2578</v>
      </c>
      <c r="AGL20" s="68">
        <f t="shared" si="339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40"/>
        <v>0</v>
      </c>
      <c r="AGU20" s="68">
        <f t="shared" si="341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2"/>
        <v>1437</v>
      </c>
      <c r="AHC20" s="68">
        <f t="shared" si="343"/>
        <v>49.551724137931032</v>
      </c>
      <c r="AHD20" s="48"/>
      <c r="AHE20" s="49"/>
      <c r="AHF20" s="49"/>
      <c r="AHG20" s="49"/>
      <c r="AHH20" s="49"/>
      <c r="AHI20" s="49"/>
      <c r="AHJ20" s="67">
        <f t="shared" si="344"/>
        <v>0</v>
      </c>
      <c r="AHK20" s="68">
        <f t="shared" si="345"/>
        <v>0</v>
      </c>
      <c r="AHL20" s="48"/>
      <c r="AHM20" s="49"/>
      <c r="AHN20" s="49"/>
      <c r="AHO20" s="49"/>
      <c r="AHP20" s="49"/>
      <c r="AHQ20" s="49"/>
      <c r="AHR20" s="67">
        <f t="shared" si="346"/>
        <v>0</v>
      </c>
      <c r="AHS20" s="68">
        <f t="shared" si="347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8"/>
        <v>4215</v>
      </c>
      <c r="AIA20" s="68">
        <f t="shared" si="349"/>
        <v>145.34482758620689</v>
      </c>
      <c r="AIB20" s="48"/>
      <c r="AIC20" s="49"/>
      <c r="AID20" s="49"/>
      <c r="AIE20" s="49"/>
      <c r="AIF20" s="49"/>
      <c r="AIG20" s="49"/>
      <c r="AIH20" s="67">
        <f t="shared" si="350"/>
        <v>0</v>
      </c>
      <c r="AII20" s="68">
        <f t="shared" si="351"/>
        <v>0</v>
      </c>
      <c r="AIJ20" s="48"/>
      <c r="AIK20" s="49"/>
      <c r="AIL20" s="49"/>
      <c r="AIM20" s="49"/>
      <c r="AIN20" s="49"/>
      <c r="AIO20" s="49"/>
      <c r="AIP20" s="67">
        <f t="shared" si="352"/>
        <v>0</v>
      </c>
      <c r="AIQ20" s="68">
        <f t="shared" si="353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4"/>
        <v>3309</v>
      </c>
      <c r="AIY20" s="68">
        <f t="shared" si="355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6"/>
        <v>3233</v>
      </c>
      <c r="AJG20" s="68">
        <f t="shared" si="357"/>
        <v>111.48275862068965</v>
      </c>
      <c r="AJH20" s="48"/>
      <c r="AJI20" s="49"/>
      <c r="AJJ20" s="49"/>
      <c r="AJK20" s="49"/>
      <c r="AJL20" s="49"/>
      <c r="AJM20" s="49"/>
      <c r="AJN20" s="42">
        <f t="shared" si="358"/>
        <v>0</v>
      </c>
      <c r="AJO20" s="43">
        <f t="shared" si="359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60"/>
        <v>1617</v>
      </c>
      <c r="AJW20" s="43">
        <f t="shared" si="361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2"/>
        <v>2679</v>
      </c>
      <c r="AKE20" s="68">
        <f t="shared" si="363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4"/>
        <v>2774</v>
      </c>
      <c r="AKM20" s="184">
        <f t="shared" si="365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6"/>
        <v>1691</v>
      </c>
      <c r="AKU20" s="184">
        <f t="shared" si="367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8"/>
        <v>1937</v>
      </c>
      <c r="ALC20" s="68">
        <f t="shared" si="369"/>
        <v>322.83333333333331</v>
      </c>
      <c r="ALD20" s="48"/>
      <c r="ALE20" s="49"/>
      <c r="ALF20" s="49"/>
      <c r="ALG20" s="49"/>
      <c r="ALH20" s="49"/>
      <c r="ALI20" s="49"/>
      <c r="ALJ20" s="67">
        <f t="shared" si="370"/>
        <v>0</v>
      </c>
      <c r="ALK20" s="68">
        <f t="shared" si="371"/>
        <v>0</v>
      </c>
      <c r="ALL20" s="48"/>
      <c r="ALM20" s="49"/>
      <c r="ALN20" s="49"/>
      <c r="ALO20" s="49"/>
      <c r="ALP20" s="49"/>
      <c r="ALQ20" s="49"/>
      <c r="ALR20" s="67">
        <f t="shared" si="372"/>
        <v>0</v>
      </c>
      <c r="ALS20" s="68">
        <f t="shared" si="373"/>
        <v>0</v>
      </c>
      <c r="ALT20" s="48"/>
      <c r="ALU20" s="49"/>
      <c r="ALV20" s="49"/>
      <c r="ALW20" s="49"/>
      <c r="ALX20" s="49"/>
      <c r="ALY20" s="49"/>
      <c r="ALZ20" s="67">
        <f t="shared" si="374"/>
        <v>0</v>
      </c>
      <c r="AMA20" s="68">
        <f t="shared" si="375"/>
        <v>0</v>
      </c>
      <c r="AMB20" s="48"/>
      <c r="AMC20" s="49"/>
      <c r="AMD20" s="49"/>
      <c r="AME20" s="49"/>
      <c r="AMF20" s="49"/>
      <c r="AMG20" s="49"/>
      <c r="AMH20" s="67">
        <f t="shared" si="376"/>
        <v>0</v>
      </c>
      <c r="AMI20" s="68">
        <f t="shared" si="377"/>
        <v>0</v>
      </c>
      <c r="AMJ20" s="48"/>
      <c r="AMK20" s="49"/>
      <c r="AML20" s="49"/>
      <c r="AMM20" s="49"/>
      <c r="AMN20" s="49"/>
      <c r="AMO20" s="49"/>
      <c r="AMP20" s="67">
        <f t="shared" si="378"/>
        <v>0</v>
      </c>
      <c r="AMQ20" s="68">
        <f t="shared" si="379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80"/>
        <v>1007</v>
      </c>
      <c r="AMY20" s="68">
        <f t="shared" si="381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2"/>
        <v>640</v>
      </c>
      <c r="ANG20" s="68">
        <f t="shared" si="383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4"/>
        <v>1546</v>
      </c>
      <c r="ANO20" s="68">
        <f t="shared" si="385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6"/>
        <v>771</v>
      </c>
      <c r="ANW20" s="68">
        <f t="shared" si="387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8"/>
        <v>904</v>
      </c>
      <c r="AOE20" s="68">
        <f t="shared" si="389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90"/>
        <v>1088</v>
      </c>
      <c r="AOM20" s="68">
        <f t="shared" si="391"/>
        <v>181.33333333333334</v>
      </c>
      <c r="AON20" s="48"/>
      <c r="AOO20" s="49"/>
      <c r="AOP20" s="49"/>
      <c r="AOQ20" s="49"/>
      <c r="AOR20" s="49"/>
      <c r="AOS20" s="49"/>
      <c r="AOT20" s="67">
        <f t="shared" si="392"/>
        <v>0</v>
      </c>
      <c r="AOU20" s="68">
        <f t="shared" si="393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4"/>
        <v>2615</v>
      </c>
      <c r="APC20" s="68">
        <f t="shared" si="395"/>
        <v>435.83333333333331</v>
      </c>
      <c r="APD20" s="48"/>
      <c r="APE20" s="49"/>
      <c r="APF20" s="49"/>
      <c r="APG20" s="49"/>
      <c r="APH20" s="49"/>
      <c r="API20" s="49"/>
      <c r="APJ20" s="67">
        <f t="shared" si="396"/>
        <v>0</v>
      </c>
      <c r="APK20" s="68">
        <f t="shared" si="397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8"/>
        <v>660</v>
      </c>
      <c r="APS20" s="68">
        <f t="shared" si="399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400"/>
        <v>503</v>
      </c>
      <c r="AQA20" s="68">
        <f t="shared" si="401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2"/>
        <v>1981</v>
      </c>
      <c r="AQI20" s="68">
        <f t="shared" si="403"/>
        <v>330.16666666666669</v>
      </c>
      <c r="AQJ20" s="48"/>
      <c r="AQK20" s="49"/>
      <c r="AQL20" s="49"/>
      <c r="AQM20" s="49"/>
      <c r="AQN20" s="49"/>
      <c r="AQO20" s="49"/>
      <c r="AQP20" s="67">
        <f t="shared" si="404"/>
        <v>0</v>
      </c>
      <c r="AQQ20" s="68">
        <f t="shared" si="405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6"/>
        <v>1586</v>
      </c>
      <c r="AQY20" s="68">
        <f t="shared" si="407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8"/>
        <v>550</v>
      </c>
      <c r="ARG20" s="68">
        <f t="shared" si="409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10"/>
        <v>537</v>
      </c>
      <c r="ARO20" s="68">
        <f t="shared" si="411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2"/>
        <v>1654</v>
      </c>
      <c r="ARW20" s="68">
        <f t="shared" si="413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4"/>
        <v>756</v>
      </c>
      <c r="ASE20" s="68">
        <f t="shared" si="415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6"/>
        <v>2063</v>
      </c>
      <c r="ASM20" s="68">
        <f t="shared" si="417"/>
        <v>343.83333333333331</v>
      </c>
      <c r="ASN20" s="48"/>
      <c r="ASO20" s="49"/>
      <c r="ASP20" s="49"/>
      <c r="ASQ20" s="49"/>
      <c r="ASR20" s="49"/>
      <c r="ASS20" s="49"/>
      <c r="AST20" s="67">
        <f t="shared" si="418"/>
        <v>0</v>
      </c>
      <c r="ASU20" s="68">
        <f t="shared" si="419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20"/>
        <v>1933</v>
      </c>
      <c r="ATC20" s="68">
        <f t="shared" si="421"/>
        <v>322.16666666666669</v>
      </c>
      <c r="ATD20" s="48"/>
      <c r="ATE20" s="49"/>
      <c r="ATF20" s="49"/>
      <c r="ATG20" s="49"/>
      <c r="ATH20" s="49"/>
      <c r="ATI20" s="49"/>
      <c r="ATJ20" s="67">
        <f t="shared" si="422"/>
        <v>0</v>
      </c>
      <c r="ATK20" s="68">
        <f t="shared" si="423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4"/>
        <v>1640</v>
      </c>
      <c r="ATS20" s="68">
        <f t="shared" si="425"/>
        <v>273.33333333333331</v>
      </c>
      <c r="ATT20" s="48"/>
      <c r="ATU20" s="49"/>
      <c r="ATV20" s="49"/>
      <c r="ATW20" s="49"/>
      <c r="ATX20" s="49"/>
      <c r="ATY20" s="49"/>
      <c r="ATZ20" s="67">
        <f t="shared" si="426"/>
        <v>0</v>
      </c>
      <c r="AUA20" s="68">
        <f t="shared" si="427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8"/>
        <v>2219</v>
      </c>
      <c r="AUI20" s="68">
        <f t="shared" si="429"/>
        <v>369.83333333333331</v>
      </c>
      <c r="AUJ20" s="48"/>
      <c r="AUK20" s="49"/>
      <c r="AUL20" s="49"/>
      <c r="AUM20" s="49"/>
      <c r="AUN20" s="49"/>
      <c r="AUO20" s="49"/>
      <c r="AUP20" s="67">
        <f t="shared" si="430"/>
        <v>0</v>
      </c>
      <c r="AUQ20" s="68">
        <f t="shared" si="431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2"/>
        <v>1043</v>
      </c>
      <c r="AUY20" s="68">
        <f t="shared" si="433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4"/>
        <v>2010</v>
      </c>
      <c r="AVG20" s="68">
        <f t="shared" si="435"/>
        <v>335</v>
      </c>
      <c r="AVH20" s="48"/>
      <c r="AVI20" s="49"/>
      <c r="AVJ20" s="49"/>
      <c r="AVK20" s="49"/>
      <c r="AVL20" s="49"/>
      <c r="AVM20" s="49"/>
      <c r="AVN20" s="67">
        <f t="shared" si="436"/>
        <v>0</v>
      </c>
      <c r="AVO20" s="68">
        <f t="shared" si="437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8"/>
        <v>1218</v>
      </c>
      <c r="AVW20" s="68">
        <f t="shared" si="439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40"/>
        <v>1866</v>
      </c>
      <c r="AWE20" s="68">
        <f t="shared" si="441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2"/>
        <v>1330</v>
      </c>
      <c r="AWM20" s="68">
        <f t="shared" si="443"/>
        <v>221.66666666666666</v>
      </c>
      <c r="AWN20" s="48"/>
      <c r="AWO20" s="49"/>
      <c r="AWP20" s="49"/>
      <c r="AWQ20" s="49"/>
      <c r="AWR20" s="49"/>
      <c r="AWS20" s="49"/>
      <c r="AWT20" s="42">
        <f t="shared" si="444"/>
        <v>0</v>
      </c>
      <c r="AWU20" s="43">
        <f t="shared" si="445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6"/>
        <v>1954</v>
      </c>
      <c r="AXC20" s="43">
        <f t="shared" si="447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8"/>
        <v>1175</v>
      </c>
      <c r="AXK20" s="43">
        <f t="shared" si="449"/>
        <v>195.83333333333334</v>
      </c>
      <c r="AXL20" s="48"/>
      <c r="AXM20" s="49"/>
      <c r="AXN20" s="49"/>
      <c r="AXO20" s="49"/>
      <c r="AXP20" s="49"/>
      <c r="AXQ20" s="49"/>
      <c r="AXR20" s="42">
        <f t="shared" si="450"/>
        <v>0</v>
      </c>
      <c r="AXS20" s="43">
        <f t="shared" si="451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2"/>
        <v>1966</v>
      </c>
      <c r="AYA20" s="43">
        <f t="shared" si="453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4"/>
        <v>2007</v>
      </c>
      <c r="AYI20" s="43">
        <f t="shared" si="455"/>
        <v>334.5</v>
      </c>
      <c r="AYJ20" s="48"/>
      <c r="AYK20" s="49"/>
      <c r="AYL20" s="49"/>
      <c r="AYM20" s="49"/>
      <c r="AYN20" s="49"/>
      <c r="AYO20" s="49"/>
      <c r="AYP20" s="42">
        <f t="shared" si="456"/>
        <v>0</v>
      </c>
      <c r="AYQ20" s="43">
        <f t="shared" si="457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8"/>
        <v>2429</v>
      </c>
      <c r="AYY20" s="43">
        <f t="shared" si="459"/>
        <v>404.83333333333331</v>
      </c>
      <c r="AYZ20" s="48"/>
      <c r="AZA20" s="49"/>
      <c r="AZB20" s="49"/>
      <c r="AZC20" s="49"/>
      <c r="AZD20" s="49"/>
      <c r="AZE20" s="49"/>
      <c r="AZF20" s="42">
        <f t="shared" si="460"/>
        <v>0</v>
      </c>
      <c r="AZG20" s="43">
        <f t="shared" si="461"/>
        <v>0</v>
      </c>
      <c r="AZH20" s="48"/>
      <c r="AZI20" s="49"/>
      <c r="AZJ20" s="49"/>
      <c r="AZK20" s="49"/>
      <c r="AZL20" s="49"/>
      <c r="AZM20" s="49"/>
      <c r="AZN20" s="42">
        <f t="shared" si="462"/>
        <v>0</v>
      </c>
      <c r="AZO20" s="43">
        <f t="shared" si="463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4"/>
        <v>1340</v>
      </c>
      <c r="AZW20" s="43">
        <f t="shared" si="465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6"/>
        <v>1982</v>
      </c>
      <c r="BAE20" s="43">
        <f t="shared" si="467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8"/>
        <v>1510</v>
      </c>
      <c r="BAM20" s="43">
        <f t="shared" si="469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70"/>
        <v>75</v>
      </c>
      <c r="BAU20" s="43">
        <f t="shared" si="471"/>
        <v>12.5</v>
      </c>
      <c r="BAV20" s="48"/>
      <c r="BAW20" s="49"/>
      <c r="BAX20" s="49"/>
      <c r="BAY20" s="49"/>
      <c r="BAZ20" s="49"/>
      <c r="BBA20" s="49"/>
      <c r="BBB20" s="42">
        <f t="shared" si="472"/>
        <v>0</v>
      </c>
      <c r="BBC20" s="43">
        <f t="shared" si="473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4"/>
        <v>1320</v>
      </c>
      <c r="BBK20" s="43">
        <f t="shared" si="475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6"/>
        <v>1542</v>
      </c>
      <c r="BBS20" s="43">
        <f t="shared" si="477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8"/>
        <v>840</v>
      </c>
      <c r="BCA20" s="43">
        <f t="shared" si="479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80"/>
        <v>1000</v>
      </c>
      <c r="BCI20" s="43">
        <f t="shared" si="481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2"/>
        <v>1561</v>
      </c>
      <c r="BCQ20" s="43">
        <f t="shared" si="483"/>
        <v>260.16666666666669</v>
      </c>
      <c r="BCR20" s="48"/>
      <c r="BCS20" s="49"/>
      <c r="BCT20" s="49"/>
      <c r="BCU20" s="49"/>
      <c r="BCV20" s="49"/>
      <c r="BCW20" s="49"/>
      <c r="BCX20" s="42">
        <f t="shared" si="484"/>
        <v>0</v>
      </c>
      <c r="BCY20" s="43">
        <f t="shared" si="485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6"/>
        <v>1411</v>
      </c>
      <c r="BDG20" s="43">
        <f t="shared" si="487"/>
        <v>235.16666666666666</v>
      </c>
      <c r="BDH20" s="48"/>
      <c r="BDI20" s="49"/>
      <c r="BDJ20" s="49"/>
      <c r="BDK20" s="49"/>
      <c r="BDL20" s="49"/>
      <c r="BDM20" s="49"/>
      <c r="BDN20" s="42">
        <f t="shared" si="488"/>
        <v>0</v>
      </c>
      <c r="BDO20" s="43">
        <f t="shared" si="489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90"/>
        <v>1588</v>
      </c>
      <c r="BDW20" s="43">
        <f t="shared" si="491"/>
        <v>264.66666666666669</v>
      </c>
      <c r="BDX20" s="48"/>
      <c r="BDY20" s="49"/>
      <c r="BDZ20" s="49"/>
      <c r="BEA20" s="49"/>
      <c r="BEB20" s="49"/>
      <c r="BEC20" s="49"/>
      <c r="BED20" s="42">
        <f t="shared" si="492"/>
        <v>0</v>
      </c>
      <c r="BEE20" s="43">
        <f t="shared" si="493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4"/>
        <v>1709</v>
      </c>
      <c r="BEM20" s="43">
        <f t="shared" si="495"/>
        <v>284.83333333333331</v>
      </c>
      <c r="BEN20" s="48"/>
      <c r="BEO20" s="49"/>
      <c r="BEP20" s="49"/>
      <c r="BEQ20" s="49"/>
      <c r="BER20" s="49"/>
      <c r="BES20" s="49"/>
      <c r="BET20" s="42">
        <f t="shared" si="496"/>
        <v>0</v>
      </c>
      <c r="BEU20" s="43">
        <f t="shared" si="497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8"/>
        <v>968</v>
      </c>
      <c r="BFC20" s="43">
        <f t="shared" si="499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500"/>
        <v>831</v>
      </c>
      <c r="BFK20" s="43">
        <f t="shared" si="501"/>
        <v>138.5</v>
      </c>
      <c r="BFL20" s="48"/>
      <c r="BFM20" s="49"/>
      <c r="BFN20" s="49"/>
      <c r="BFO20" s="49"/>
      <c r="BFP20" s="49"/>
      <c r="BFQ20" s="49"/>
      <c r="BFR20" s="42">
        <f t="shared" si="502"/>
        <v>0</v>
      </c>
      <c r="BFS20" s="43">
        <f t="shared" si="503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4"/>
        <v>1360</v>
      </c>
      <c r="BGA20" s="43">
        <f t="shared" si="505"/>
        <v>226.66666666666666</v>
      </c>
      <c r="BGB20" s="48"/>
      <c r="BGC20" s="49"/>
      <c r="BGD20" s="49"/>
      <c r="BGE20" s="49"/>
      <c r="BGF20" s="49"/>
      <c r="BGG20" s="49"/>
      <c r="BGH20" s="42">
        <f t="shared" si="506"/>
        <v>0</v>
      </c>
      <c r="BGI20" s="43">
        <f t="shared" si="507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8"/>
        <v>809</v>
      </c>
      <c r="BGQ20" s="43">
        <f t="shared" si="509"/>
        <v>134.83333333333334</v>
      </c>
      <c r="BGR20" s="48"/>
      <c r="BGS20" s="49"/>
      <c r="BGT20" s="49"/>
      <c r="BGU20" s="49"/>
      <c r="BGV20" s="49"/>
      <c r="BGW20" s="49"/>
      <c r="BGX20" s="42">
        <f t="shared" si="510"/>
        <v>0</v>
      </c>
      <c r="BGY20" s="43">
        <f t="shared" si="511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2"/>
        <v>1002</v>
      </c>
      <c r="BHG20" s="43">
        <f t="shared" si="513"/>
        <v>167</v>
      </c>
      <c r="BHH20" s="63"/>
      <c r="BHI20" s="64"/>
      <c r="BHJ20" s="64"/>
      <c r="BHK20" s="64"/>
      <c r="BHL20" s="64"/>
      <c r="BHM20" s="64"/>
      <c r="BHN20" s="42">
        <f t="shared" si="514"/>
        <v>0</v>
      </c>
      <c r="BHO20" s="43">
        <f t="shared" si="515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6"/>
        <v>2009</v>
      </c>
      <c r="BHW20" s="43">
        <f t="shared" si="517"/>
        <v>334.83333333333331</v>
      </c>
      <c r="BHX20" s="48"/>
      <c r="BHY20" s="49"/>
      <c r="BHZ20" s="49"/>
      <c r="BIA20" s="49"/>
      <c r="BIB20" s="49"/>
      <c r="BIC20" s="49"/>
      <c r="BID20" s="42">
        <f t="shared" si="518"/>
        <v>0</v>
      </c>
      <c r="BIE20" s="43">
        <f t="shared" si="519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20"/>
        <v>1758</v>
      </c>
      <c r="BIM20" s="43">
        <f t="shared" si="521"/>
        <v>293</v>
      </c>
      <c r="BIN20" s="48"/>
      <c r="BIO20" s="49"/>
      <c r="BIP20" s="49"/>
      <c r="BIQ20" s="49"/>
      <c r="BIR20" s="49"/>
      <c r="BIS20" s="49"/>
      <c r="BIT20" s="42">
        <f t="shared" si="522"/>
        <v>0</v>
      </c>
      <c r="BIU20" s="43">
        <f t="shared" si="523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4"/>
        <v>627</v>
      </c>
      <c r="BJC20" s="43">
        <f t="shared" si="525"/>
        <v>104.5</v>
      </c>
      <c r="BJD20" s="48"/>
      <c r="BJE20" s="49"/>
      <c r="BJF20" s="49"/>
      <c r="BJG20" s="49"/>
      <c r="BJH20" s="49"/>
      <c r="BJI20" s="49"/>
      <c r="BJJ20" s="42">
        <f t="shared" si="526"/>
        <v>0</v>
      </c>
      <c r="BJK20" s="43">
        <f t="shared" si="527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8"/>
        <v>1411</v>
      </c>
      <c r="BJS20" s="43">
        <f t="shared" si="529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30"/>
        <v>1046</v>
      </c>
      <c r="BKA20" s="43">
        <f t="shared" si="531"/>
        <v>209.2</v>
      </c>
      <c r="BKB20" s="48"/>
      <c r="BKC20" s="49"/>
      <c r="BKD20" s="49"/>
      <c r="BKE20" s="49"/>
      <c r="BKF20" s="49"/>
      <c r="BKG20" s="49"/>
      <c r="BKH20" s="67">
        <f t="shared" si="532"/>
        <v>0</v>
      </c>
      <c r="BKI20" s="68">
        <f t="shared" si="533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4"/>
        <v>252</v>
      </c>
      <c r="BKQ20" s="43">
        <f t="shared" si="535"/>
        <v>42</v>
      </c>
      <c r="BKR20" s="48"/>
      <c r="BKS20" s="49"/>
      <c r="BKT20" s="49"/>
      <c r="BKU20" s="49"/>
      <c r="BKV20" s="49"/>
      <c r="BKW20" s="49"/>
      <c r="BKX20" s="42">
        <f t="shared" si="536"/>
        <v>0</v>
      </c>
      <c r="BKY20" s="43">
        <f t="shared" si="537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8"/>
        <v>1623</v>
      </c>
      <c r="BLG20" s="43">
        <f t="shared" si="539"/>
        <v>270.5</v>
      </c>
      <c r="BLH20" s="48"/>
      <c r="BLI20" s="49"/>
      <c r="BLJ20" s="49"/>
      <c r="BLK20" s="49"/>
      <c r="BLL20" s="49"/>
      <c r="BLM20" s="49"/>
      <c r="BLN20" s="42">
        <f t="shared" si="540"/>
        <v>0</v>
      </c>
      <c r="BLO20" s="43">
        <f t="shared" si="541"/>
        <v>0</v>
      </c>
      <c r="BLP20" s="48"/>
      <c r="BLQ20" s="49"/>
      <c r="BLR20" s="49"/>
      <c r="BLS20" s="49"/>
      <c r="BLT20" s="49"/>
      <c r="BLU20" s="49"/>
      <c r="BLV20" s="42">
        <f t="shared" si="542"/>
        <v>0</v>
      </c>
      <c r="BLW20" s="43">
        <f t="shared" si="543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4"/>
        <v>1650</v>
      </c>
      <c r="BME20" s="43">
        <f t="shared" si="545"/>
        <v>275</v>
      </c>
      <c r="BMF20" s="48"/>
      <c r="BMG20" s="49"/>
      <c r="BMH20" s="49"/>
      <c r="BMI20" s="49"/>
      <c r="BMJ20" s="49"/>
      <c r="BMK20" s="49"/>
      <c r="BML20" s="42">
        <f t="shared" si="546"/>
        <v>0</v>
      </c>
      <c r="BMM20" s="43">
        <f t="shared" si="547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8"/>
        <v>1203</v>
      </c>
      <c r="BMU20" s="43">
        <f t="shared" si="549"/>
        <v>200.5</v>
      </c>
      <c r="BMV20" s="48"/>
      <c r="BMW20" s="49"/>
      <c r="BMX20" s="49"/>
      <c r="BMY20" s="49"/>
      <c r="BMZ20" s="49"/>
      <c r="BNA20" s="49"/>
      <c r="BNB20" s="42">
        <f t="shared" si="550"/>
        <v>0</v>
      </c>
      <c r="BNC20" s="43">
        <f t="shared" si="551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2"/>
        <v>1398</v>
      </c>
      <c r="BNK20" s="43">
        <f t="shared" si="553"/>
        <v>233</v>
      </c>
      <c r="BNL20" s="48"/>
      <c r="BNM20" s="49"/>
      <c r="BNN20" s="49"/>
      <c r="BNO20" s="49"/>
      <c r="BNP20" s="49"/>
      <c r="BNQ20" s="49"/>
      <c r="BNR20" s="42">
        <f t="shared" si="554"/>
        <v>0</v>
      </c>
      <c r="BNS20" s="43">
        <f t="shared" si="555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6"/>
        <v>963</v>
      </c>
      <c r="BOA20" s="43">
        <f t="shared" si="557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8"/>
        <v>799</v>
      </c>
      <c r="BOI20" s="43">
        <f t="shared" si="559"/>
        <v>133.16666666666666</v>
      </c>
      <c r="BOJ20" s="48"/>
      <c r="BOK20" s="49"/>
      <c r="BOL20" s="49"/>
      <c r="BOM20" s="49"/>
      <c r="BON20" s="49"/>
      <c r="BOO20" s="49"/>
      <c r="BOP20" s="42">
        <f t="shared" si="560"/>
        <v>0</v>
      </c>
      <c r="BOQ20" s="43">
        <f t="shared" si="561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2"/>
        <v>821</v>
      </c>
      <c r="BOY20" s="43">
        <f t="shared" si="563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4"/>
        <v>890</v>
      </c>
      <c r="BPG20" s="43">
        <f t="shared" si="565"/>
        <v>148.33333333333334</v>
      </c>
      <c r="BPH20" s="48"/>
      <c r="BPI20" s="49"/>
      <c r="BPJ20" s="49"/>
      <c r="BPK20" s="49"/>
      <c r="BPL20" s="49"/>
      <c r="BPM20" s="49"/>
      <c r="BPN20" s="42">
        <f t="shared" si="566"/>
        <v>0</v>
      </c>
      <c r="BPO20" s="43">
        <f t="shared" si="567"/>
        <v>0</v>
      </c>
      <c r="BPP20" s="48"/>
      <c r="BPQ20" s="49"/>
      <c r="BPR20" s="49"/>
      <c r="BPS20" s="49"/>
      <c r="BPT20" s="49"/>
      <c r="BPU20" s="49"/>
      <c r="BPV20" s="42">
        <f t="shared" si="568"/>
        <v>0</v>
      </c>
      <c r="BPW20" s="43">
        <f t="shared" si="569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70"/>
        <v>681</v>
      </c>
      <c r="BQE20" s="43">
        <f t="shared" si="571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2"/>
        <v>3142</v>
      </c>
      <c r="BQM20" s="43">
        <f t="shared" si="573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4"/>
        <v>1331</v>
      </c>
      <c r="BQU20" s="43">
        <f t="shared" si="575"/>
        <v>221.83333333333334</v>
      </c>
      <c r="BQV20" s="48"/>
      <c r="BQW20" s="49"/>
      <c r="BQX20" s="49"/>
      <c r="BQY20" s="49"/>
      <c r="BQZ20" s="49"/>
      <c r="BRA20" s="49"/>
      <c r="BRB20" s="67">
        <f t="shared" si="576"/>
        <v>0</v>
      </c>
      <c r="BRC20" s="43">
        <f t="shared" si="577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8"/>
        <v>1648</v>
      </c>
      <c r="BRK20" s="43">
        <f t="shared" si="579"/>
        <v>274.66666666666669</v>
      </c>
      <c r="BRL20" s="48"/>
      <c r="BRM20" s="49"/>
      <c r="BRN20" s="49"/>
      <c r="BRO20" s="49"/>
      <c r="BRP20" s="49"/>
      <c r="BRQ20" s="49"/>
      <c r="BRR20" s="67">
        <f t="shared" si="580"/>
        <v>0</v>
      </c>
      <c r="BRS20" s="68">
        <f t="shared" si="581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2"/>
        <v>736</v>
      </c>
      <c r="BSA20" s="43">
        <f t="shared" si="583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4"/>
        <v>949</v>
      </c>
      <c r="BSI20" s="43">
        <f t="shared" si="585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6"/>
        <v>1824</v>
      </c>
      <c r="BSQ20" s="43">
        <f t="shared" si="587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8"/>
        <v>2224</v>
      </c>
      <c r="BSY20" s="43">
        <f t="shared" si="589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90"/>
        <v>353</v>
      </c>
      <c r="BTG20" s="43">
        <f t="shared" si="591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2"/>
        <v>1223</v>
      </c>
      <c r="BTO20" s="68">
        <f t="shared" si="593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4"/>
        <v>1409</v>
      </c>
      <c r="BTW20" s="43">
        <f t="shared" si="595"/>
        <v>234.83333333333334</v>
      </c>
      <c r="BTX20" s="63"/>
      <c r="BTY20" s="64"/>
      <c r="BTZ20" s="64"/>
      <c r="BUA20" s="64"/>
      <c r="BUB20" s="64"/>
      <c r="BUC20" s="64"/>
      <c r="BUD20" s="67">
        <f t="shared" si="596"/>
        <v>0</v>
      </c>
      <c r="BUE20" s="68">
        <f t="shared" si="597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8"/>
        <v>845</v>
      </c>
      <c r="BUM20" s="68">
        <f t="shared" si="599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600"/>
        <v>1296</v>
      </c>
      <c r="BUU20" s="68">
        <f t="shared" si="601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2"/>
        <v>1223</v>
      </c>
      <c r="BVC20" s="68">
        <f t="shared" si="603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4"/>
        <v>746</v>
      </c>
      <c r="BVK20" s="68">
        <f t="shared" si="605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6"/>
        <v>1441</v>
      </c>
      <c r="BVS20" s="68">
        <f t="shared" si="607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8"/>
        <v>1280</v>
      </c>
      <c r="BWA20" s="68">
        <f t="shared" si="609"/>
        <v>213.33333333333334</v>
      </c>
      <c r="BWB20" s="48"/>
      <c r="BWC20" s="49"/>
      <c r="BWD20" s="49"/>
      <c r="BWE20" s="49"/>
      <c r="BWF20" s="49"/>
      <c r="BWG20" s="49"/>
      <c r="BWH20" s="67">
        <f t="shared" si="610"/>
        <v>0</v>
      </c>
      <c r="BWI20" s="68">
        <f t="shared" si="611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2"/>
        <v>1573</v>
      </c>
      <c r="BWQ20" s="68">
        <f t="shared" si="613"/>
        <v>262.16666666666669</v>
      </c>
      <c r="BWR20" s="48"/>
      <c r="BWS20" s="49"/>
      <c r="BWT20" s="49"/>
      <c r="BWU20" s="49"/>
      <c r="BWV20" s="49"/>
      <c r="BWW20" s="49"/>
      <c r="BWX20" s="67">
        <f t="shared" si="614"/>
        <v>0</v>
      </c>
      <c r="BWY20" s="68">
        <f t="shared" si="615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6"/>
        <v>1596</v>
      </c>
      <c r="BXG20" s="68">
        <f t="shared" si="617"/>
        <v>266</v>
      </c>
      <c r="BXH20" s="48"/>
      <c r="BXI20" s="49"/>
      <c r="BXJ20" s="49"/>
      <c r="BXK20" s="49"/>
      <c r="BXL20" s="49"/>
      <c r="BXM20" s="49"/>
      <c r="BXN20" s="67">
        <f t="shared" si="618"/>
        <v>0</v>
      </c>
      <c r="BXO20" s="68">
        <f t="shared" si="619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20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21"/>
        <v>337</v>
      </c>
      <c r="BYE20" s="68">
        <f t="shared" si="622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3"/>
        <v>651</v>
      </c>
      <c r="BYM20" s="68">
        <f t="shared" si="624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5"/>
        <v>1483</v>
      </c>
      <c r="BYU20" s="68">
        <f t="shared" si="626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7"/>
        <v>279</v>
      </c>
      <c r="BZC20" s="68">
        <f t="shared" si="628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9"/>
        <v>1486</v>
      </c>
      <c r="BZK20" s="68">
        <f t="shared" si="630"/>
        <v>247.66666666666666</v>
      </c>
      <c r="BZL20" s="48"/>
      <c r="BZM20" s="49"/>
      <c r="BZN20" s="49"/>
      <c r="BZO20" s="49"/>
      <c r="BZP20" s="49"/>
      <c r="BZQ20" s="49"/>
      <c r="BZR20" s="67">
        <f t="shared" si="631"/>
        <v>0</v>
      </c>
      <c r="BZS20" s="68">
        <f t="shared" si="632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3"/>
        <v>1129</v>
      </c>
      <c r="CAA20" s="68">
        <f t="shared" si="634"/>
        <v>188.16666666666666</v>
      </c>
      <c r="CAB20" s="48"/>
      <c r="CAC20" s="49"/>
      <c r="CAD20" s="49"/>
      <c r="CAE20" s="49"/>
      <c r="CAF20" s="49"/>
      <c r="CAG20" s="49"/>
      <c r="CAH20" s="67">
        <f t="shared" si="635"/>
        <v>0</v>
      </c>
      <c r="CAI20" s="68">
        <f t="shared" si="636"/>
        <v>0</v>
      </c>
      <c r="CAJ20" s="63"/>
      <c r="CAK20" s="64"/>
      <c r="CAL20" s="64"/>
      <c r="CAM20" s="64"/>
      <c r="CAN20" s="64"/>
      <c r="CAO20" s="64"/>
      <c r="CAP20" s="67">
        <f t="shared" si="637"/>
        <v>0</v>
      </c>
      <c r="CAQ20" s="68">
        <f t="shared" si="638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9"/>
        <v>1579</v>
      </c>
      <c r="CAY20" s="68">
        <f t="shared" si="640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41"/>
        <v>30</v>
      </c>
      <c r="CBG20" s="68">
        <f t="shared" si="642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3"/>
        <v>962</v>
      </c>
      <c r="CBO20" s="68">
        <f t="shared" si="644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5"/>
        <v>1338</v>
      </c>
      <c r="CBW20" s="68">
        <f t="shared" si="646"/>
        <v>223</v>
      </c>
      <c r="CBX20" s="48"/>
      <c r="CBY20" s="49"/>
      <c r="CBZ20" s="49"/>
      <c r="CCA20" s="49"/>
      <c r="CCB20" s="49"/>
      <c r="CCC20" s="49"/>
      <c r="CCD20" s="67">
        <f t="shared" si="647"/>
        <v>0</v>
      </c>
      <c r="CCE20" s="68">
        <f t="shared" si="648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9"/>
        <v>870</v>
      </c>
      <c r="CCM20" s="68">
        <f t="shared" si="650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51"/>
        <v>804</v>
      </c>
      <c r="CCU20" s="68">
        <f t="shared" si="652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3"/>
        <v>728</v>
      </c>
      <c r="CDC20" s="68">
        <f t="shared" si="654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5"/>
        <v>724</v>
      </c>
      <c r="CDK20" s="68">
        <f t="shared" si="656"/>
        <v>120.66666666666667</v>
      </c>
      <c r="CDL20" s="48"/>
      <c r="CDM20" s="49"/>
      <c r="CDN20" s="49"/>
      <c r="CDO20" s="49"/>
      <c r="CDP20" s="49"/>
      <c r="CDQ20" s="49"/>
      <c r="CDR20" s="67">
        <f t="shared" si="657"/>
        <v>0</v>
      </c>
      <c r="CDS20" s="68">
        <f t="shared" si="658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9"/>
        <v>672</v>
      </c>
      <c r="CEA20" s="68">
        <f t="shared" si="660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61"/>
        <v>856</v>
      </c>
      <c r="CEI20" s="68">
        <f t="shared" si="662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3"/>
        <v>618</v>
      </c>
      <c r="CEQ20" s="68">
        <f t="shared" si="664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5"/>
        <v>672</v>
      </c>
      <c r="CEY20" s="68">
        <f t="shared" si="666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7"/>
        <v>680</v>
      </c>
      <c r="CFG20" s="68">
        <f t="shared" si="668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9"/>
        <v>907</v>
      </c>
      <c r="CFO20" s="68">
        <f t="shared" si="670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71"/>
        <v>990</v>
      </c>
      <c r="CFW20" s="68">
        <f t="shared" si="672"/>
        <v>165</v>
      </c>
      <c r="CFX20" s="48"/>
      <c r="CFY20" s="49"/>
      <c r="CFZ20" s="49"/>
      <c r="CGA20" s="49"/>
      <c r="CGB20" s="49"/>
      <c r="CGC20" s="49"/>
      <c r="CGD20" s="67">
        <f t="shared" si="673"/>
        <v>0</v>
      </c>
      <c r="CGE20" s="68">
        <f t="shared" si="674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5"/>
        <v>899</v>
      </c>
      <c r="CGM20" s="68">
        <f t="shared" si="676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7"/>
        <v>1009</v>
      </c>
      <c r="CGU20" s="68">
        <f t="shared" si="678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9"/>
        <v>924</v>
      </c>
      <c r="CHC20" s="68">
        <f t="shared" si="680"/>
        <v>154</v>
      </c>
      <c r="CHD20" s="48"/>
      <c r="CHE20" s="49"/>
      <c r="CHF20" s="49"/>
      <c r="CHG20" s="49"/>
      <c r="CHH20" s="49"/>
      <c r="CHI20" s="49"/>
      <c r="CHJ20" s="67">
        <f t="shared" si="681"/>
        <v>0</v>
      </c>
      <c r="CHK20" s="68">
        <f t="shared" si="682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3"/>
        <v>901</v>
      </c>
      <c r="CHS20" s="68">
        <f t="shared" si="684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5"/>
        <v>770</v>
      </c>
      <c r="CIA20" s="68">
        <f t="shared" si="686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7"/>
        <v>1000</v>
      </c>
      <c r="CII20" s="68">
        <f t="shared" si="688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9"/>
        <v>993</v>
      </c>
      <c r="CIQ20" s="68">
        <f t="shared" si="690"/>
        <v>165.5</v>
      </c>
      <c r="CIR20" s="48"/>
      <c r="CIS20" s="49"/>
      <c r="CIT20" s="49"/>
      <c r="CIU20" s="49"/>
      <c r="CIV20" s="49"/>
      <c r="CIW20" s="49"/>
      <c r="CIX20" s="67">
        <f t="shared" si="691"/>
        <v>0</v>
      </c>
      <c r="CIY20" s="68">
        <f t="shared" si="692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3"/>
        <v>1121</v>
      </c>
      <c r="CJG20" s="68">
        <f t="shared" si="1206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4"/>
        <v>1540</v>
      </c>
      <c r="CJO20" s="68">
        <f t="shared" si="695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6"/>
        <v>218</v>
      </c>
      <c r="CJW20" s="68">
        <f t="shared" si="697"/>
        <v>36.333333333333336</v>
      </c>
      <c r="CJX20" s="48"/>
      <c r="CJY20" s="49"/>
      <c r="CJZ20" s="49"/>
      <c r="CKA20" s="49"/>
      <c r="CKB20" s="49"/>
      <c r="CKC20" s="49"/>
      <c r="CKD20" s="67">
        <f t="shared" si="698"/>
        <v>0</v>
      </c>
      <c r="CKE20" s="68">
        <f t="shared" si="699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700"/>
        <v>1183</v>
      </c>
      <c r="CKM20" s="68">
        <f t="shared" si="701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2"/>
        <v>604</v>
      </c>
      <c r="CKU20" s="68">
        <f t="shared" si="703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4"/>
        <v>663</v>
      </c>
      <c r="CLC20" s="68">
        <f t="shared" si="705"/>
        <v>110.5</v>
      </c>
      <c r="CLD20" s="48"/>
      <c r="CLE20" s="49"/>
      <c r="CLF20" s="49"/>
      <c r="CLG20" s="49"/>
      <c r="CLH20" s="49"/>
      <c r="CLI20" s="49"/>
      <c r="CLJ20" s="67">
        <f t="shared" si="706"/>
        <v>0</v>
      </c>
      <c r="CLK20" s="68">
        <f t="shared" si="707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8"/>
        <v>615</v>
      </c>
      <c r="CLS20" s="68">
        <f t="shared" si="709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10"/>
        <v>829</v>
      </c>
      <c r="CMA20" s="68">
        <f t="shared" si="711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2"/>
        <v>571</v>
      </c>
      <c r="CMI20" s="68">
        <f t="shared" si="713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4"/>
        <v>823</v>
      </c>
      <c r="CMQ20" s="68">
        <f t="shared" si="715"/>
        <v>137.16666666666666</v>
      </c>
      <c r="CMR20" s="48"/>
      <c r="CMS20" s="49"/>
      <c r="CMT20" s="49"/>
      <c r="CMU20" s="49"/>
      <c r="CMV20" s="49"/>
      <c r="CMW20" s="49"/>
      <c r="CMX20" s="67">
        <f t="shared" si="716"/>
        <v>0</v>
      </c>
      <c r="CMY20" s="68">
        <f t="shared" si="717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8"/>
        <v>888</v>
      </c>
      <c r="CNG20" s="68">
        <f t="shared" si="719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20"/>
        <v>2</v>
      </c>
      <c r="CNO20" s="68">
        <f t="shared" si="721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2"/>
        <v>899</v>
      </c>
      <c r="CNW20" s="68">
        <f t="shared" si="723"/>
        <v>149.83333333333334</v>
      </c>
      <c r="CNX20" s="48"/>
      <c r="CNY20" s="49"/>
      <c r="CNZ20" s="49"/>
      <c r="COA20" s="49"/>
      <c r="COB20" s="49"/>
      <c r="COC20" s="49"/>
      <c r="COD20" s="67">
        <f t="shared" si="724"/>
        <v>0</v>
      </c>
      <c r="COE20" s="68">
        <f t="shared" si="725"/>
        <v>0</v>
      </c>
      <c r="COF20" s="48"/>
      <c r="COG20" s="49"/>
      <c r="COH20" s="49"/>
      <c r="COI20" s="49"/>
      <c r="COJ20" s="49"/>
      <c r="COK20" s="49"/>
      <c r="COL20" s="67">
        <f t="shared" si="726"/>
        <v>0</v>
      </c>
      <c r="COM20" s="68">
        <f t="shared" si="727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8"/>
        <v>750</v>
      </c>
      <c r="COU20" s="68">
        <f t="shared" si="729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30"/>
        <v>0</v>
      </c>
      <c r="CPC20" s="68">
        <f t="shared" si="731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2"/>
        <v>627</v>
      </c>
      <c r="CPK20" s="68">
        <f t="shared" si="733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4"/>
        <v>0</v>
      </c>
      <c r="CPS20" s="68">
        <f t="shared" si="735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6"/>
        <v>392</v>
      </c>
      <c r="CQA20" s="68">
        <f t="shared" si="737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8"/>
        <v>549</v>
      </c>
      <c r="CQI20" s="68">
        <f t="shared" si="739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40"/>
        <v>0</v>
      </c>
      <c r="CQQ20" s="68">
        <f t="shared" si="741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2"/>
        <v>667</v>
      </c>
      <c r="CQY20" s="68">
        <f t="shared" si="743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4"/>
        <v>234</v>
      </c>
      <c r="CRG20" s="68">
        <f t="shared" si="745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6"/>
        <v>132</v>
      </c>
      <c r="CRO20" s="68">
        <f t="shared" si="747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8"/>
        <v>334</v>
      </c>
      <c r="CRW20" s="68">
        <f t="shared" si="749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50"/>
        <v>661</v>
      </c>
      <c r="CSE20" s="68">
        <f t="shared" si="751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2"/>
        <v>0</v>
      </c>
      <c r="CSM20" s="68">
        <f t="shared" si="753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4"/>
        <v>0</v>
      </c>
      <c r="CSU20" s="68">
        <f t="shared" si="755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6"/>
        <v>483</v>
      </c>
      <c r="CTC20" s="68">
        <f t="shared" si="757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8"/>
        <v>477</v>
      </c>
      <c r="CTK20" s="68">
        <f t="shared" si="759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60"/>
        <v>320</v>
      </c>
      <c r="CTS20" s="68">
        <f t="shared" si="761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2"/>
        <v>381</v>
      </c>
      <c r="CUA20" s="68">
        <f t="shared" si="763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4"/>
        <v>320</v>
      </c>
      <c r="CUI20" s="68">
        <f t="shared" si="765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6"/>
        <v>551</v>
      </c>
      <c r="CUQ20" s="68">
        <f t="shared" si="767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8"/>
        <v>0</v>
      </c>
      <c r="CUY20" s="68">
        <f t="shared" si="769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70"/>
        <v>370</v>
      </c>
      <c r="CVG20" s="68">
        <f t="shared" si="771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2"/>
        <v>533</v>
      </c>
      <c r="CVO20" s="68">
        <f t="shared" si="773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4"/>
        <v>431</v>
      </c>
      <c r="CVW20" s="68">
        <f t="shared" si="775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6"/>
        <v>268</v>
      </c>
      <c r="CWE20" s="68">
        <f t="shared" si="777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8"/>
        <v>0</v>
      </c>
      <c r="CWM20" s="68">
        <f t="shared" si="779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80"/>
        <v>541</v>
      </c>
      <c r="CWU20" s="68">
        <f t="shared" si="781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2"/>
        <v>414</v>
      </c>
      <c r="CXC20" s="43">
        <f t="shared" si="783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4"/>
        <v>0</v>
      </c>
      <c r="CXK20" s="43">
        <f t="shared" si="785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6"/>
        <v>199</v>
      </c>
      <c r="CXS20" s="43">
        <f t="shared" si="787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8"/>
        <v>474</v>
      </c>
      <c r="CYA20" s="43">
        <f t="shared" si="789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90"/>
        <v>561</v>
      </c>
      <c r="CYI20" s="43">
        <f t="shared" si="791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2"/>
        <v>150</v>
      </c>
      <c r="CYQ20" s="43">
        <f t="shared" si="793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4"/>
        <v>482</v>
      </c>
      <c r="CYY20" s="43">
        <f t="shared" si="795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6"/>
        <v>0</v>
      </c>
      <c r="CZG20" s="43">
        <f t="shared" si="797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8"/>
        <v>770</v>
      </c>
      <c r="CZO20" s="43">
        <f t="shared" si="799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800"/>
        <v>434</v>
      </c>
      <c r="CZW20" s="43">
        <f t="shared" si="801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2"/>
        <v>100</v>
      </c>
      <c r="DAE20" s="68">
        <f t="shared" si="803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4"/>
        <v>693</v>
      </c>
      <c r="DAM20" s="68">
        <f t="shared" si="805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6"/>
        <v>0</v>
      </c>
      <c r="DAU20" s="68">
        <f t="shared" si="807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8"/>
        <v>0</v>
      </c>
      <c r="DBC20" s="68">
        <f t="shared" si="809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10"/>
        <v>555</v>
      </c>
      <c r="DBK20" s="68">
        <f t="shared" si="811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2"/>
        <v>0</v>
      </c>
      <c r="DBS20" s="68">
        <f t="shared" si="813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4"/>
        <v>493</v>
      </c>
      <c r="DCA20" s="68">
        <f t="shared" si="815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6"/>
        <v>0</v>
      </c>
      <c r="DCI20" s="68">
        <f t="shared" si="817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8"/>
        <v>498</v>
      </c>
      <c r="DCQ20" s="68">
        <f t="shared" si="819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20"/>
        <v>440</v>
      </c>
      <c r="DCY20" s="68">
        <f t="shared" si="821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2"/>
        <v>4</v>
      </c>
      <c r="DDG20" s="68">
        <f t="shared" si="823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4"/>
        <v>500</v>
      </c>
      <c r="DDO20" s="43">
        <f t="shared" si="825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6"/>
        <v>461</v>
      </c>
      <c r="DDW20" s="43">
        <f t="shared" si="827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8"/>
        <v>342</v>
      </c>
      <c r="DEE20" s="43">
        <f t="shared" si="829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30"/>
        <v>328</v>
      </c>
      <c r="DEM20" s="43">
        <f t="shared" si="831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2"/>
        <v>0</v>
      </c>
      <c r="DEU20" s="43">
        <f t="shared" si="833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4"/>
        <v>680</v>
      </c>
      <c r="DFC20" s="43">
        <f t="shared" si="835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6"/>
        <v>115</v>
      </c>
      <c r="DFK20" s="43">
        <f t="shared" si="837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8"/>
        <v>0</v>
      </c>
      <c r="DFS20" s="68">
        <f t="shared" si="839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40"/>
        <v>503</v>
      </c>
      <c r="DGA20" s="43">
        <f t="shared" si="841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2"/>
        <v>220</v>
      </c>
      <c r="DGI20" s="43">
        <f t="shared" si="843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4"/>
        <v>686</v>
      </c>
      <c r="DGQ20" s="68">
        <f t="shared" si="845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6"/>
        <v>0</v>
      </c>
      <c r="DGY20" s="68">
        <f t="shared" si="847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8"/>
        <v>0</v>
      </c>
      <c r="DHG20" s="68">
        <f t="shared" si="849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50"/>
        <v>330</v>
      </c>
      <c r="DHO20" s="68">
        <f t="shared" si="851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2"/>
        <v>460</v>
      </c>
      <c r="DHW20" s="68">
        <f t="shared" si="853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4"/>
        <v>367</v>
      </c>
      <c r="DIE20" s="68">
        <f t="shared" si="855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6"/>
        <v>0</v>
      </c>
      <c r="DIM20" s="68">
        <f t="shared" si="857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8"/>
        <v>562</v>
      </c>
      <c r="DIU20" s="68">
        <f t="shared" si="859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60"/>
        <v>0</v>
      </c>
      <c r="DJC20" s="68">
        <f t="shared" si="861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2"/>
        <v>278</v>
      </c>
      <c r="DJK20" s="68">
        <f t="shared" si="863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4"/>
        <v>0</v>
      </c>
      <c r="DJS20" s="68">
        <f t="shared" si="865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6"/>
        <v>300</v>
      </c>
      <c r="DKA20" s="68">
        <f t="shared" si="867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8"/>
        <v>550</v>
      </c>
      <c r="DKI20" s="68">
        <f t="shared" si="869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70"/>
        <v>320</v>
      </c>
      <c r="DKQ20" s="68">
        <f t="shared" si="871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2"/>
        <v>152</v>
      </c>
      <c r="DKY20" s="68">
        <f t="shared" si="873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4"/>
        <v>361</v>
      </c>
      <c r="DLG20" s="68">
        <f t="shared" si="875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6"/>
        <v>0</v>
      </c>
      <c r="DLO20" s="68">
        <f t="shared" si="877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8"/>
        <v>602</v>
      </c>
      <c r="DLW20" s="68">
        <f t="shared" si="879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80"/>
        <v>0</v>
      </c>
      <c r="DME20" s="68">
        <f t="shared" si="881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2"/>
        <v>286</v>
      </c>
      <c r="DMM20" s="68">
        <f t="shared" si="883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4"/>
        <v>320</v>
      </c>
      <c r="DMU20" s="68">
        <f t="shared" si="885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6"/>
        <v>354</v>
      </c>
      <c r="DNC20" s="68">
        <f t="shared" si="887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8"/>
        <v>211</v>
      </c>
      <c r="DNK20" s="68">
        <f t="shared" si="889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90"/>
        <v>480</v>
      </c>
      <c r="DNS20" s="68">
        <f t="shared" si="891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2"/>
        <v>0</v>
      </c>
      <c r="DOA20" s="68">
        <f t="shared" si="893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4"/>
        <v>335</v>
      </c>
      <c r="DOI20" s="68">
        <f t="shared" si="895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6"/>
        <v>350</v>
      </c>
      <c r="DOQ20" s="68">
        <f t="shared" si="897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8"/>
        <v>280</v>
      </c>
      <c r="DOY20" s="68">
        <f t="shared" si="899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900"/>
        <v>0</v>
      </c>
      <c r="DPG20" s="68">
        <f t="shared" si="901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2"/>
        <v>220</v>
      </c>
      <c r="DPO20" s="68">
        <f t="shared" si="903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4"/>
        <v>340</v>
      </c>
      <c r="DPW20" s="492">
        <f t="shared" si="905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6"/>
        <v>348</v>
      </c>
      <c r="DQE20" s="492">
        <f t="shared" si="907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8"/>
        <v>300</v>
      </c>
      <c r="DQM20" s="492">
        <f t="shared" si="909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10"/>
        <v>17</v>
      </c>
      <c r="DQU20" s="68">
        <f t="shared" si="911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2"/>
        <v>406</v>
      </c>
      <c r="DRC20" s="492">
        <f t="shared" si="913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4"/>
        <v>482</v>
      </c>
      <c r="DRK20" s="492">
        <f t="shared" si="915"/>
        <v>80.333333333333329</v>
      </c>
      <c r="DRL20" s="48"/>
      <c r="DRM20" s="49"/>
      <c r="DRN20" s="49"/>
      <c r="DRO20" s="49"/>
      <c r="DRP20" s="49"/>
      <c r="DRQ20" s="49"/>
      <c r="DRR20" s="64">
        <f t="shared" si="916"/>
        <v>0</v>
      </c>
      <c r="DRS20" s="68">
        <f t="shared" si="917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8"/>
        <v>220</v>
      </c>
      <c r="DSA20" s="68">
        <f t="shared" si="919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20"/>
        <v>100</v>
      </c>
      <c r="DSI20" s="68">
        <f t="shared" si="921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2"/>
        <v>235</v>
      </c>
      <c r="DSQ20" s="68">
        <f t="shared" si="923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4"/>
        <v>400</v>
      </c>
      <c r="DSY20" s="68">
        <f t="shared" si="925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6"/>
        <v>152</v>
      </c>
      <c r="DTG20" s="68">
        <f t="shared" si="927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8"/>
        <v>480</v>
      </c>
      <c r="DTO20" s="68">
        <f t="shared" si="929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30"/>
        <v>368</v>
      </c>
      <c r="DTW20" s="68">
        <f t="shared" si="931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2"/>
        <v>0</v>
      </c>
      <c r="DUE20" s="68">
        <f t="shared" si="933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4"/>
        <v>0</v>
      </c>
      <c r="DUM20" s="68">
        <f t="shared" si="935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6"/>
        <v>240</v>
      </c>
      <c r="DUU20" s="184">
        <f t="shared" si="937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8"/>
        <v>400</v>
      </c>
      <c r="DVC20" s="68">
        <f t="shared" si="939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40"/>
        <v>332</v>
      </c>
      <c r="DVK20" s="68">
        <f t="shared" si="941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2"/>
        <v>0</v>
      </c>
      <c r="DVS20" s="68">
        <f t="shared" si="943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4"/>
        <v>320</v>
      </c>
      <c r="DWA20" s="68">
        <f t="shared" si="945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6"/>
        <v>348</v>
      </c>
      <c r="DWI20" s="68">
        <f t="shared" si="947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8"/>
        <v>440</v>
      </c>
      <c r="DWQ20" s="68">
        <f t="shared" si="949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50"/>
        <v>0</v>
      </c>
      <c r="DWY20" s="68">
        <f t="shared" si="1207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51"/>
        <v>0</v>
      </c>
      <c r="DXG20" s="68">
        <f t="shared" si="952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3"/>
        <v>0</v>
      </c>
      <c r="DXO20" s="68">
        <f t="shared" si="954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5"/>
        <v>499</v>
      </c>
      <c r="DXW20" s="68">
        <f t="shared" si="956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7"/>
        <v>0</v>
      </c>
      <c r="DYE20" s="68">
        <f t="shared" si="958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9"/>
        <v>606</v>
      </c>
      <c r="DYM20" s="68">
        <f t="shared" si="960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61"/>
        <v>0</v>
      </c>
      <c r="DYU20" s="68">
        <f t="shared" si="962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3"/>
        <v>0</v>
      </c>
      <c r="DZC20" s="68">
        <f t="shared" si="964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5"/>
        <v>341</v>
      </c>
      <c r="DZK20" s="68">
        <f t="shared" si="966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7"/>
        <v>0</v>
      </c>
      <c r="DZS20" s="68">
        <f t="shared" si="968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9"/>
        <v>330</v>
      </c>
      <c r="EAA20" s="68">
        <f t="shared" si="970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71"/>
        <v>0</v>
      </c>
      <c r="EAI20" s="68">
        <f t="shared" si="972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3"/>
        <v>334</v>
      </c>
      <c r="EAQ20" s="68">
        <f t="shared" si="1208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4"/>
        <v>281</v>
      </c>
      <c r="EAY20" s="68">
        <f t="shared" si="975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6"/>
        <v>352</v>
      </c>
      <c r="EBG20" s="68">
        <f t="shared" si="977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8"/>
        <v>221</v>
      </c>
      <c r="EBO20" s="68">
        <f t="shared" si="1137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9"/>
        <v>0</v>
      </c>
      <c r="EBW20" s="68">
        <f t="shared" si="980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81"/>
        <v>0</v>
      </c>
      <c r="ECE20" s="68">
        <f t="shared" si="982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3"/>
        <v>0</v>
      </c>
      <c r="ECM20" s="68">
        <f t="shared" si="984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5"/>
        <v>301</v>
      </c>
      <c r="ECU20" s="68">
        <f t="shared" si="986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7"/>
        <v>330</v>
      </c>
      <c r="EDC20" s="68">
        <f t="shared" si="988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9"/>
        <v>161</v>
      </c>
      <c r="EDK20" s="68">
        <f t="shared" si="990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91"/>
        <v>0</v>
      </c>
      <c r="EDS20" s="184">
        <f t="shared" si="992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3"/>
        <v>0</v>
      </c>
      <c r="EEA20" s="184">
        <f t="shared" si="994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5"/>
        <v>393</v>
      </c>
      <c r="EEI20" s="68">
        <f t="shared" si="996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7"/>
        <v>0</v>
      </c>
      <c r="EEQ20" s="68">
        <f t="shared" si="998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9"/>
        <v>0</v>
      </c>
      <c r="EEY20" s="68">
        <f t="shared" si="1000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1001"/>
        <v>345</v>
      </c>
      <c r="EFG20" s="68">
        <f t="shared" si="1002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3"/>
        <v>0</v>
      </c>
      <c r="EFO20" s="68">
        <f t="shared" si="1004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5"/>
        <v>330</v>
      </c>
      <c r="EFW20" s="68">
        <f t="shared" si="1006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7"/>
        <v>110</v>
      </c>
      <c r="EGE20" s="68">
        <f t="shared" si="1008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9"/>
        <v>0</v>
      </c>
      <c r="EGM20" s="68">
        <f t="shared" si="1010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11"/>
        <v>731</v>
      </c>
      <c r="EGU20" s="68">
        <f t="shared" si="1209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2"/>
        <v>328</v>
      </c>
      <c r="EHC20" s="68">
        <f t="shared" si="1013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4"/>
        <v>220</v>
      </c>
      <c r="EHK20" s="68">
        <f t="shared" si="1015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6"/>
        <v>0</v>
      </c>
      <c r="EHS20" s="68">
        <f t="shared" si="1017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8"/>
        <v>0</v>
      </c>
      <c r="EIA20" s="68">
        <f t="shared" si="1019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20"/>
        <v>215</v>
      </c>
      <c r="EII20" s="68">
        <f t="shared" si="1021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2"/>
        <v>248</v>
      </c>
      <c r="EIQ20" s="68">
        <f t="shared" si="1023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4"/>
        <v>0</v>
      </c>
      <c r="EIY20" s="68">
        <f t="shared" si="1025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6"/>
        <v>296</v>
      </c>
      <c r="EJG20" s="68">
        <f t="shared" si="1027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8"/>
        <v>395</v>
      </c>
      <c r="EJO20" s="68">
        <f t="shared" si="1029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30"/>
        <v>0</v>
      </c>
      <c r="EJW20" s="68">
        <f t="shared" si="1031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2"/>
        <v>229</v>
      </c>
      <c r="EKE20" s="68">
        <f t="shared" si="1033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4"/>
        <v>0</v>
      </c>
      <c r="EKM20" s="68">
        <f t="shared" si="1035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6"/>
        <v>0</v>
      </c>
      <c r="EKU20" s="184">
        <f t="shared" si="1037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8"/>
        <v>0</v>
      </c>
      <c r="ELD20" s="211">
        <f t="shared" si="1039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40"/>
        <v>229</v>
      </c>
      <c r="ELL20" s="211">
        <f t="shared" si="1041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2"/>
        <v>198</v>
      </c>
      <c r="ELT20" s="211">
        <f t="shared" si="1043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4"/>
        <v>200</v>
      </c>
      <c r="EMB20" s="211">
        <f t="shared" si="1045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6"/>
        <v>0</v>
      </c>
      <c r="EMJ20" s="211">
        <f t="shared" si="1047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8"/>
        <v>220</v>
      </c>
      <c r="EMR20" s="211">
        <f t="shared" si="1049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50"/>
        <v>225</v>
      </c>
      <c r="EMZ20" s="211">
        <f t="shared" si="1051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2"/>
        <v>0</v>
      </c>
      <c r="ENH20" s="211">
        <f t="shared" si="1053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4"/>
        <v>221</v>
      </c>
      <c r="ENP20" s="211">
        <f t="shared" si="1055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6"/>
        <v>0</v>
      </c>
      <c r="ENX20" s="211">
        <f t="shared" si="1057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8"/>
        <v>0</v>
      </c>
      <c r="EOF20" s="211">
        <f t="shared" si="1059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60"/>
        <v>0</v>
      </c>
      <c r="EON20" s="211">
        <f t="shared" si="1061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2"/>
        <v>326</v>
      </c>
      <c r="EOV20" s="211">
        <f t="shared" si="1063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4"/>
        <v>0</v>
      </c>
      <c r="EPD20" s="211">
        <f t="shared" si="1065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6"/>
        <v>220</v>
      </c>
      <c r="EPL20" s="211">
        <f t="shared" si="1067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8"/>
        <v>0</v>
      </c>
      <c r="EPT20" s="211">
        <f t="shared" si="1069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70"/>
        <v>99</v>
      </c>
      <c r="EQB20" s="211">
        <f t="shared" si="1071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2"/>
        <v>99</v>
      </c>
      <c r="EQJ20" s="211">
        <f t="shared" si="1073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4"/>
        <v>200</v>
      </c>
      <c r="EQR20" s="211">
        <f t="shared" si="1075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6"/>
        <v>0</v>
      </c>
      <c r="EQZ20" s="211">
        <f t="shared" si="1077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8"/>
        <v>299</v>
      </c>
      <c r="ERH20" s="211">
        <f t="shared" si="1079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80"/>
        <v>0</v>
      </c>
      <c r="ERP20" s="211">
        <f t="shared" si="1081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2"/>
        <v>100</v>
      </c>
      <c r="ERX20" s="211">
        <f t="shared" si="1083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4"/>
        <v>180</v>
      </c>
      <c r="ESF20" s="211">
        <f t="shared" si="1085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6"/>
        <v>0</v>
      </c>
      <c r="ESN20" s="211">
        <f t="shared" si="1087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8"/>
        <v>0</v>
      </c>
      <c r="ESV20" s="211">
        <f t="shared" si="1089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90"/>
        <v>114</v>
      </c>
      <c r="ETD20" s="211">
        <f t="shared" si="1091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2"/>
        <v>223</v>
      </c>
      <c r="ETL20" s="211">
        <f t="shared" si="1093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4"/>
        <v>201</v>
      </c>
      <c r="ETT20" s="211">
        <f t="shared" si="1095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6"/>
        <v>0</v>
      </c>
      <c r="EUB20" s="211">
        <f t="shared" si="1097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8"/>
        <v>100</v>
      </c>
      <c r="EUJ20" s="211">
        <f t="shared" si="1099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100"/>
        <v>0</v>
      </c>
      <c r="EUR20" s="211">
        <f t="shared" si="1101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2"/>
        <v>0</v>
      </c>
      <c r="EUZ20" s="211">
        <f t="shared" si="1103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4"/>
        <v>160</v>
      </c>
      <c r="EVH20" s="211">
        <f t="shared" si="1105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6"/>
        <v>120</v>
      </c>
      <c r="EVP20" s="211">
        <f t="shared" si="1107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8"/>
        <v>0</v>
      </c>
      <c r="EVX20" s="211">
        <f t="shared" si="1109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10"/>
        <v>320</v>
      </c>
      <c r="EWF20" s="211">
        <f t="shared" si="1111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2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3"/>
        <v>240</v>
      </c>
      <c r="EWV20" s="211">
        <f t="shared" si="1114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5"/>
        <v>0</v>
      </c>
      <c r="EXD20" s="211">
        <f t="shared" si="1116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7"/>
        <v>232</v>
      </c>
      <c r="EXL20" s="211">
        <f t="shared" si="1118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9"/>
        <v>0</v>
      </c>
      <c r="EXT20" s="211">
        <f t="shared" si="1120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21"/>
        <v>100</v>
      </c>
      <c r="EYB20" s="211">
        <f t="shared" si="1122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3"/>
        <v>0</v>
      </c>
      <c r="EYJ20" s="211">
        <f t="shared" si="1124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5"/>
        <v>285</v>
      </c>
      <c r="EYR20" s="211">
        <f t="shared" si="1126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7"/>
        <v>0</v>
      </c>
      <c r="EYZ20" s="873">
        <f t="shared" si="1128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9"/>
        <v>110</v>
      </c>
      <c r="EZH20" s="873">
        <f t="shared" si="1130"/>
        <v>18.333333333333332</v>
      </c>
      <c r="EZI20" s="195"/>
      <c r="EZJ20" s="49"/>
      <c r="EZK20" s="49"/>
      <c r="EZL20" s="49"/>
      <c r="EZM20" s="49"/>
      <c r="EZN20" s="49"/>
      <c r="EZO20" s="872">
        <f t="shared" si="1131"/>
        <v>0</v>
      </c>
      <c r="EZP20" s="873">
        <f t="shared" si="1132"/>
        <v>0</v>
      </c>
      <c r="EZQ20" s="458"/>
      <c r="EZR20" s="83"/>
      <c r="EZS20" s="83"/>
      <c r="EZT20" s="83"/>
      <c r="EZU20" s="83"/>
      <c r="EZV20" s="83">
        <v>0</v>
      </c>
      <c r="EZW20" s="872">
        <f t="shared" si="1133"/>
        <v>0</v>
      </c>
      <c r="EZX20" s="873">
        <f t="shared" si="1134"/>
        <v>0</v>
      </c>
      <c r="EZY20" s="195"/>
      <c r="EZZ20" s="49">
        <v>0</v>
      </c>
      <c r="FAA20" s="49"/>
      <c r="FAB20" s="49"/>
      <c r="FAC20" s="49"/>
      <c r="FAD20" s="49"/>
      <c r="FAE20" s="872">
        <f t="shared" si="1135"/>
        <v>0</v>
      </c>
      <c r="FAF20" s="873">
        <f t="shared" si="1136"/>
        <v>0</v>
      </c>
    </row>
    <row r="21" spans="1:4088" s="8" customFormat="1" ht="15" customHeight="1" thickBot="1" x14ac:dyDescent="0.25">
      <c r="A21" s="301">
        <v>15</v>
      </c>
      <c r="B21" s="21" t="s">
        <v>134</v>
      </c>
      <c r="C21" s="275" t="s">
        <v>293</v>
      </c>
      <c r="D21" s="21">
        <v>25</v>
      </c>
      <c r="E21" s="24"/>
      <c r="F21" s="24">
        <v>900</v>
      </c>
      <c r="G21" s="24"/>
      <c r="H21" s="24"/>
      <c r="I21" s="24"/>
      <c r="J21" s="360">
        <f>SUMIF(SUMPK!$B:$B,$B:$B,SUMPK!$O:$O)</f>
        <v>0</v>
      </c>
      <c r="K21" s="15">
        <f t="shared" si="1210"/>
        <v>0</v>
      </c>
      <c r="L21" s="24">
        <f t="shared" si="189"/>
        <v>900</v>
      </c>
      <c r="M21" s="24">
        <f t="shared" si="190"/>
        <v>900</v>
      </c>
      <c r="N21" s="15">
        <v>0</v>
      </c>
      <c r="O21" s="276">
        <f t="shared" si="1212"/>
        <v>0</v>
      </c>
      <c r="P21" s="712">
        <v>0</v>
      </c>
      <c r="Q21" s="276">
        <f t="shared" si="192"/>
        <v>0</v>
      </c>
      <c r="R21" s="277">
        <f t="shared" si="193"/>
        <v>12.307692307692308</v>
      </c>
      <c r="S21" s="222">
        <v>320</v>
      </c>
      <c r="T21" s="276">
        <f t="shared" ref="T21" si="1215">IF(R21=0,0,M21/R21)</f>
        <v>73.125</v>
      </c>
      <c r="U21" s="303"/>
      <c r="V21" s="302">
        <f t="shared" ref="V21" si="1216">IF(R21=0,0,(M21+U21)/R21)</f>
        <v>73.125</v>
      </c>
      <c r="W21" s="304">
        <f t="shared" ref="W21" si="1217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43"/>
        <v>406</v>
      </c>
      <c r="AK21" s="53">
        <f t="shared" si="1144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45"/>
        <v>200</v>
      </c>
      <c r="AS21" s="53">
        <f t="shared" si="1146"/>
        <v>33.333333333333336</v>
      </c>
      <c r="AT21" s="50"/>
      <c r="AU21" s="51"/>
      <c r="AV21" s="51"/>
      <c r="AW21" s="51"/>
      <c r="AX21" s="51"/>
      <c r="AY21" s="51"/>
      <c r="AZ21" s="52">
        <f t="shared" si="1147"/>
        <v>0</v>
      </c>
      <c r="BA21" s="53">
        <f t="shared" si="1148"/>
        <v>0</v>
      </c>
      <c r="BB21" s="50"/>
      <c r="BC21" s="51">
        <v>296</v>
      </c>
      <c r="BD21" s="51"/>
      <c r="BE21" s="51"/>
      <c r="BF21" s="51"/>
      <c r="BG21" s="51"/>
      <c r="BH21" s="52">
        <f t="shared" si="1149"/>
        <v>296</v>
      </c>
      <c r="BI21" s="53">
        <f t="shared" si="1150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51"/>
        <v>400</v>
      </c>
      <c r="BQ21" s="53">
        <f t="shared" si="1152"/>
        <v>66.666666666666671</v>
      </c>
      <c r="BR21" s="50"/>
      <c r="BS21" s="51"/>
      <c r="BT21" s="51"/>
      <c r="BU21" s="51"/>
      <c r="BV21" s="51"/>
      <c r="BW21" s="51"/>
      <c r="BX21" s="52">
        <f t="shared" si="1153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54"/>
        <v>201</v>
      </c>
      <c r="CG21" s="53">
        <f t="shared" si="1155"/>
        <v>33.5</v>
      </c>
      <c r="CH21" s="50"/>
      <c r="CI21" s="51"/>
      <c r="CJ21" s="51"/>
      <c r="CK21" s="51"/>
      <c r="CL21" s="51"/>
      <c r="CM21" s="51"/>
      <c r="CN21" s="52">
        <f t="shared" si="1156"/>
        <v>0</v>
      </c>
      <c r="CO21" s="53">
        <f t="shared" si="1157"/>
        <v>0</v>
      </c>
      <c r="CP21" s="50"/>
      <c r="CQ21" s="51"/>
      <c r="CR21" s="51"/>
      <c r="CS21" s="51"/>
      <c r="CT21" s="51"/>
      <c r="CU21" s="51"/>
      <c r="CV21" s="52">
        <f t="shared" si="1158"/>
        <v>0</v>
      </c>
      <c r="CW21" s="53">
        <f t="shared" si="1159"/>
        <v>0</v>
      </c>
      <c r="CX21" s="50"/>
      <c r="CY21" s="51"/>
      <c r="CZ21" s="51"/>
      <c r="DA21" s="51">
        <v>199</v>
      </c>
      <c r="DB21" s="51"/>
      <c r="DC21" s="51"/>
      <c r="DD21" s="52">
        <f t="shared" si="1160"/>
        <v>199</v>
      </c>
      <c r="DE21" s="53">
        <f t="shared" si="1161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62"/>
        <v>300</v>
      </c>
      <c r="DM21" s="53">
        <f t="shared" si="1163"/>
        <v>50</v>
      </c>
      <c r="DN21" s="50"/>
      <c r="DO21" s="51"/>
      <c r="DP21" s="51"/>
      <c r="DQ21" s="51"/>
      <c r="DR21" s="51"/>
      <c r="DS21" s="51"/>
      <c r="DT21" s="52">
        <f t="shared" si="1164"/>
        <v>0</v>
      </c>
      <c r="DU21" s="53">
        <f t="shared" si="1165"/>
        <v>0</v>
      </c>
      <c r="DV21" s="50"/>
      <c r="DW21" s="51"/>
      <c r="DX21" s="51"/>
      <c r="DY21" s="51">
        <v>399</v>
      </c>
      <c r="DZ21" s="51"/>
      <c r="EA21" s="51"/>
      <c r="EB21" s="52">
        <f t="shared" si="1166"/>
        <v>399</v>
      </c>
      <c r="EC21" s="53">
        <f t="shared" si="1167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8"/>
        <v>177</v>
      </c>
      <c r="EK21" s="53">
        <f t="shared" si="1169"/>
        <v>29.5</v>
      </c>
      <c r="EL21" s="50"/>
      <c r="EM21" s="51"/>
      <c r="EN21" s="51"/>
      <c r="EO21" s="51"/>
      <c r="EP21" s="51"/>
      <c r="EQ21" s="51"/>
      <c r="ER21" s="52">
        <f t="shared" si="1170"/>
        <v>0</v>
      </c>
      <c r="ES21" s="53">
        <f t="shared" si="1171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72"/>
        <v>401</v>
      </c>
      <c r="FA21" s="53">
        <f t="shared" si="1173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74"/>
        <v>200</v>
      </c>
      <c r="FI21" s="53">
        <f t="shared" si="1175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6"/>
        <v>100</v>
      </c>
      <c r="FQ21" s="53">
        <f t="shared" si="1177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8"/>
        <v>202</v>
      </c>
      <c r="FY21" s="53">
        <f t="shared" si="1179"/>
        <v>33.666666666666664</v>
      </c>
      <c r="FZ21" s="50"/>
      <c r="GA21" s="51"/>
      <c r="GB21" s="51"/>
      <c r="GC21" s="51"/>
      <c r="GD21" s="51"/>
      <c r="GE21" s="51"/>
      <c r="GF21" s="52">
        <f t="shared" si="1180"/>
        <v>0</v>
      </c>
      <c r="GG21" s="53">
        <f t="shared" si="1181"/>
        <v>0</v>
      </c>
      <c r="GH21" s="50"/>
      <c r="GI21" s="51"/>
      <c r="GJ21" s="51"/>
      <c r="GK21" s="51"/>
      <c r="GL21" s="51">
        <v>193</v>
      </c>
      <c r="GM21" s="51"/>
      <c r="GN21" s="52">
        <f t="shared" si="1182"/>
        <v>193</v>
      </c>
      <c r="GO21" s="53">
        <f t="shared" si="1183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84"/>
        <v>201</v>
      </c>
      <c r="GW21" s="53">
        <f t="shared" si="1185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6"/>
        <v>204</v>
      </c>
      <c r="HE21" s="53">
        <f t="shared" si="1187"/>
        <v>34</v>
      </c>
      <c r="HF21" s="50"/>
      <c r="HG21" s="51"/>
      <c r="HH21" s="51"/>
      <c r="HI21" s="51"/>
      <c r="HJ21" s="51"/>
      <c r="HK21" s="51"/>
      <c r="HL21" s="52">
        <f t="shared" si="1188"/>
        <v>0</v>
      </c>
      <c r="HM21" s="53">
        <f t="shared" si="1189"/>
        <v>0</v>
      </c>
      <c r="HN21" s="84"/>
      <c r="HO21" s="85"/>
      <c r="HP21" s="85"/>
      <c r="HQ21" s="85"/>
      <c r="HR21" s="85"/>
      <c r="HS21" s="85"/>
      <c r="HT21" s="52">
        <f t="shared" si="1190"/>
        <v>0</v>
      </c>
      <c r="HU21" s="53">
        <f t="shared" si="1191"/>
        <v>0</v>
      </c>
      <c r="HV21" s="50"/>
      <c r="HW21" s="51"/>
      <c r="HX21" s="51"/>
      <c r="HY21" s="51"/>
      <c r="HZ21" s="51"/>
      <c r="IA21" s="51"/>
      <c r="IB21" s="52">
        <f t="shared" si="1192"/>
        <v>0</v>
      </c>
      <c r="IC21" s="53">
        <f t="shared" si="1193"/>
        <v>0</v>
      </c>
      <c r="ID21" s="50"/>
      <c r="IE21" s="51">
        <v>201</v>
      </c>
      <c r="IF21" s="51"/>
      <c r="IG21" s="51"/>
      <c r="IH21" s="51"/>
      <c r="II21" s="51"/>
      <c r="IJ21" s="52">
        <f t="shared" si="1194"/>
        <v>201</v>
      </c>
      <c r="IK21" s="53">
        <f t="shared" si="1195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6"/>
        <v>200</v>
      </c>
      <c r="IS21" s="70">
        <f t="shared" si="1197"/>
        <v>33.333333333333336</v>
      </c>
      <c r="IT21" s="50"/>
      <c r="IU21" s="51"/>
      <c r="IV21" s="51"/>
      <c r="IW21" s="51"/>
      <c r="IX21" s="51"/>
      <c r="IY21" s="51"/>
      <c r="IZ21" s="69">
        <f t="shared" si="1198"/>
        <v>0</v>
      </c>
      <c r="JA21" s="70">
        <f t="shared" si="1199"/>
        <v>0</v>
      </c>
      <c r="JB21" s="50"/>
      <c r="JC21" s="51"/>
      <c r="JD21" s="51"/>
      <c r="JE21" s="51"/>
      <c r="JF21" s="51"/>
      <c r="JG21" s="51"/>
      <c r="JH21" s="69">
        <f t="shared" si="1200"/>
        <v>0</v>
      </c>
      <c r="JI21" s="70">
        <f t="shared" si="1201"/>
        <v>0</v>
      </c>
      <c r="JJ21" s="50">
        <v>1783</v>
      </c>
      <c r="JK21" s="51"/>
      <c r="JL21" s="51"/>
      <c r="JM21" s="51"/>
      <c r="JN21" s="51"/>
      <c r="JO21" s="51"/>
      <c r="JP21" s="52">
        <f t="shared" si="1202"/>
        <v>1783</v>
      </c>
      <c r="JQ21" s="53">
        <f t="shared" si="1203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204"/>
        <v>1544</v>
      </c>
      <c r="JY21" s="53">
        <f t="shared" si="1205"/>
        <v>257.33333333333331</v>
      </c>
      <c r="JZ21" s="50"/>
      <c r="KA21" s="51"/>
      <c r="KB21" s="51"/>
      <c r="KC21" s="51"/>
      <c r="KD21" s="51"/>
      <c r="KE21" s="51"/>
      <c r="KF21" s="42">
        <f t="shared" si="196"/>
        <v>0</v>
      </c>
      <c r="KG21" s="43">
        <f t="shared" si="197"/>
        <v>0</v>
      </c>
      <c r="KH21" s="50"/>
      <c r="KI21" s="51">
        <v>968</v>
      </c>
      <c r="KJ21" s="51"/>
      <c r="KK21" s="51"/>
      <c r="KL21" s="51"/>
      <c r="KM21" s="51"/>
      <c r="KN21" s="69">
        <f t="shared" si="198"/>
        <v>968</v>
      </c>
      <c r="KO21" s="70">
        <f t="shared" si="199"/>
        <v>161.33333333333334</v>
      </c>
      <c r="KP21" s="50"/>
      <c r="KQ21" s="51"/>
      <c r="KR21" s="51"/>
      <c r="KS21" s="51"/>
      <c r="KT21" s="51"/>
      <c r="KU21" s="51"/>
      <c r="KV21" s="69">
        <f t="shared" si="200"/>
        <v>0</v>
      </c>
      <c r="KW21" s="70">
        <f t="shared" si="201"/>
        <v>0</v>
      </c>
      <c r="KX21" s="50"/>
      <c r="KY21" s="51"/>
      <c r="KZ21" s="51"/>
      <c r="LA21" s="51"/>
      <c r="LB21" s="51"/>
      <c r="LC21" s="51"/>
      <c r="LD21" s="69">
        <f t="shared" si="202"/>
        <v>0</v>
      </c>
      <c r="LE21" s="70">
        <f t="shared" si="203"/>
        <v>0</v>
      </c>
      <c r="LF21" s="50"/>
      <c r="LG21" s="51"/>
      <c r="LH21" s="51"/>
      <c r="LI21" s="51"/>
      <c r="LJ21" s="51"/>
      <c r="LK21" s="51">
        <v>959</v>
      </c>
      <c r="LL21" s="69">
        <f t="shared" si="204"/>
        <v>959</v>
      </c>
      <c r="LM21" s="70">
        <f t="shared" si="205"/>
        <v>159.83333333333334</v>
      </c>
      <c r="LN21" s="50"/>
      <c r="LO21" s="51"/>
      <c r="LP21" s="51"/>
      <c r="LQ21" s="51"/>
      <c r="LR21" s="51"/>
      <c r="LS21" s="51"/>
      <c r="LT21" s="69">
        <f t="shared" si="206"/>
        <v>0</v>
      </c>
      <c r="LU21" s="70">
        <f t="shared" si="207"/>
        <v>0</v>
      </c>
      <c r="LV21" s="50"/>
      <c r="LW21" s="51"/>
      <c r="LX21" s="51"/>
      <c r="LY21" s="51"/>
      <c r="LZ21" s="51"/>
      <c r="MA21" s="51"/>
      <c r="MB21" s="69">
        <f t="shared" si="208"/>
        <v>0</v>
      </c>
      <c r="MC21" s="70">
        <f t="shared" si="209"/>
        <v>0</v>
      </c>
      <c r="MD21" s="50">
        <v>979</v>
      </c>
      <c r="ME21" s="51"/>
      <c r="MF21" s="51"/>
      <c r="MG21" s="51"/>
      <c r="MH21" s="51"/>
      <c r="MI21" s="51"/>
      <c r="MJ21" s="69">
        <f t="shared" si="210"/>
        <v>979</v>
      </c>
      <c r="MK21" s="70">
        <f t="shared" si="211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2"/>
        <v>1607</v>
      </c>
      <c r="MS21" s="70">
        <f t="shared" si="213"/>
        <v>267.83333333333331</v>
      </c>
      <c r="MT21" s="50"/>
      <c r="MU21" s="51"/>
      <c r="MV21" s="51"/>
      <c r="MW21" s="51"/>
      <c r="MX21" s="51"/>
      <c r="MY21" s="51"/>
      <c r="MZ21" s="69">
        <f t="shared" si="214"/>
        <v>0</v>
      </c>
      <c r="NA21" s="70">
        <f t="shared" si="215"/>
        <v>0</v>
      </c>
      <c r="NB21" s="50"/>
      <c r="NC21" s="51"/>
      <c r="ND21" s="51"/>
      <c r="NE21" s="51"/>
      <c r="NF21" s="51"/>
      <c r="NG21" s="51">
        <v>2526</v>
      </c>
      <c r="NH21" s="69">
        <f t="shared" si="216"/>
        <v>2526</v>
      </c>
      <c r="NI21" s="70">
        <f t="shared" si="217"/>
        <v>421</v>
      </c>
      <c r="NJ21" s="50"/>
      <c r="NK21" s="51"/>
      <c r="NL21" s="51"/>
      <c r="NM21" s="51"/>
      <c r="NN21" s="51"/>
      <c r="NO21" s="51"/>
      <c r="NP21" s="69">
        <f t="shared" si="218"/>
        <v>0</v>
      </c>
      <c r="NQ21" s="70">
        <f t="shared" si="219"/>
        <v>0</v>
      </c>
      <c r="NR21" s="50"/>
      <c r="NS21" s="51"/>
      <c r="NT21" s="51"/>
      <c r="NU21" s="51"/>
      <c r="NV21" s="51"/>
      <c r="NW21" s="51"/>
      <c r="NX21" s="69">
        <f t="shared" si="220"/>
        <v>0</v>
      </c>
      <c r="NY21" s="70">
        <f t="shared" si="221"/>
        <v>0</v>
      </c>
      <c r="NZ21" s="50"/>
      <c r="OA21" s="51"/>
      <c r="OB21" s="51"/>
      <c r="OC21" s="51"/>
      <c r="OD21" s="51"/>
      <c r="OE21" s="51"/>
      <c r="OF21" s="69">
        <f t="shared" si="222"/>
        <v>0</v>
      </c>
      <c r="OG21" s="70">
        <f t="shared" si="223"/>
        <v>0</v>
      </c>
      <c r="OH21" s="50">
        <v>1670</v>
      </c>
      <c r="OI21" s="51"/>
      <c r="OJ21" s="51"/>
      <c r="OK21" s="51"/>
      <c r="OL21" s="51"/>
      <c r="OM21" s="51"/>
      <c r="ON21" s="69">
        <f t="shared" si="224"/>
        <v>1670</v>
      </c>
      <c r="OO21" s="70">
        <f t="shared" si="225"/>
        <v>278.33333333333331</v>
      </c>
      <c r="OP21" s="50"/>
      <c r="OQ21" s="51"/>
      <c r="OR21" s="51"/>
      <c r="OS21" s="51"/>
      <c r="OT21" s="51"/>
      <c r="OU21" s="51"/>
      <c r="OV21" s="69">
        <f t="shared" si="226"/>
        <v>0</v>
      </c>
      <c r="OW21" s="70">
        <f t="shared" si="227"/>
        <v>0</v>
      </c>
      <c r="OX21" s="50"/>
      <c r="OY21" s="51"/>
      <c r="OZ21" s="51"/>
      <c r="PA21" s="51"/>
      <c r="PB21" s="51"/>
      <c r="PC21" s="51"/>
      <c r="PD21" s="69">
        <f t="shared" si="228"/>
        <v>0</v>
      </c>
      <c r="PE21" s="70">
        <f t="shared" si="229"/>
        <v>0</v>
      </c>
      <c r="PF21" s="50"/>
      <c r="PG21" s="51"/>
      <c r="PH21" s="51">
        <v>1334</v>
      </c>
      <c r="PI21" s="51"/>
      <c r="PJ21" s="51"/>
      <c r="PK21" s="51"/>
      <c r="PL21" s="69">
        <f t="shared" si="230"/>
        <v>1334</v>
      </c>
      <c r="PM21" s="70">
        <f t="shared" si="231"/>
        <v>222.33333333333334</v>
      </c>
      <c r="PN21" s="50"/>
      <c r="PO21" s="51"/>
      <c r="PP21" s="51"/>
      <c r="PQ21" s="51"/>
      <c r="PR21" s="51"/>
      <c r="PS21" s="51"/>
      <c r="PT21" s="104">
        <f t="shared" si="232"/>
        <v>0</v>
      </c>
      <c r="PU21" s="105">
        <f t="shared" si="233"/>
        <v>0</v>
      </c>
      <c r="PV21" s="108"/>
      <c r="PW21" s="109"/>
      <c r="PX21" s="109"/>
      <c r="PY21" s="109"/>
      <c r="PZ21" s="109"/>
      <c r="QA21" s="109"/>
      <c r="QB21" s="110">
        <f t="shared" si="234"/>
        <v>0</v>
      </c>
      <c r="QC21" s="111">
        <f t="shared" si="235"/>
        <v>0</v>
      </c>
      <c r="QD21" s="108"/>
      <c r="QE21" s="109"/>
      <c r="QF21" s="109"/>
      <c r="QG21" s="109"/>
      <c r="QH21" s="109"/>
      <c r="QI21" s="109"/>
      <c r="QJ21" s="110">
        <f t="shared" si="236"/>
        <v>0</v>
      </c>
      <c r="QK21" s="111">
        <f t="shared" si="237"/>
        <v>0</v>
      </c>
      <c r="QL21" s="108"/>
      <c r="QM21" s="109"/>
      <c r="QN21" s="109"/>
      <c r="QO21" s="109"/>
      <c r="QP21" s="109"/>
      <c r="QQ21" s="109"/>
      <c r="QR21" s="110">
        <f t="shared" si="238"/>
        <v>0</v>
      </c>
      <c r="QS21" s="111">
        <f t="shared" si="239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40"/>
        <v>1298</v>
      </c>
      <c r="RA21" s="111">
        <f t="shared" si="241"/>
        <v>216.33333333333334</v>
      </c>
      <c r="RB21" s="108"/>
      <c r="RC21" s="109"/>
      <c r="RD21" s="109"/>
      <c r="RE21" s="109"/>
      <c r="RF21" s="109"/>
      <c r="RG21" s="109"/>
      <c r="RH21" s="110">
        <f t="shared" si="242"/>
        <v>0</v>
      </c>
      <c r="RI21" s="111">
        <f t="shared" si="243"/>
        <v>0</v>
      </c>
      <c r="RJ21" s="108"/>
      <c r="RK21" s="109"/>
      <c r="RL21" s="109"/>
      <c r="RM21" s="109"/>
      <c r="RN21" s="109"/>
      <c r="RO21" s="109"/>
      <c r="RP21" s="110">
        <f t="shared" si="244"/>
        <v>0</v>
      </c>
      <c r="RQ21" s="111">
        <f t="shared" si="245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6"/>
        <v>1306</v>
      </c>
      <c r="RY21" s="111">
        <f t="shared" si="247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8"/>
        <v>1319</v>
      </c>
      <c r="SG21" s="111">
        <f t="shared" si="249"/>
        <v>219.83333333333334</v>
      </c>
      <c r="SH21" s="108"/>
      <c r="SI21" s="109"/>
      <c r="SJ21" s="109"/>
      <c r="SK21" s="109"/>
      <c r="SL21" s="109"/>
      <c r="SM21" s="109"/>
      <c r="SN21" s="110">
        <f t="shared" si="250"/>
        <v>0</v>
      </c>
      <c r="SO21" s="111">
        <f t="shared" si="251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2"/>
        <v>4000</v>
      </c>
      <c r="SW21" s="111">
        <f t="shared" si="253"/>
        <v>666.66666666666663</v>
      </c>
      <c r="SX21" s="108"/>
      <c r="SY21" s="109"/>
      <c r="SZ21" s="109"/>
      <c r="TA21" s="109"/>
      <c r="TB21" s="109"/>
      <c r="TC21" s="109"/>
      <c r="TD21" s="110">
        <f t="shared" si="254"/>
        <v>0</v>
      </c>
      <c r="TE21" s="111">
        <f t="shared" si="255"/>
        <v>0</v>
      </c>
      <c r="TF21" s="108"/>
      <c r="TG21" s="109"/>
      <c r="TH21" s="109"/>
      <c r="TI21" s="109"/>
      <c r="TJ21" s="109"/>
      <c r="TK21" s="109"/>
      <c r="TL21" s="110">
        <f t="shared" si="256"/>
        <v>0</v>
      </c>
      <c r="TM21" s="111">
        <f t="shared" si="257"/>
        <v>0</v>
      </c>
      <c r="TN21" s="108"/>
      <c r="TO21" s="109"/>
      <c r="TP21" s="109"/>
      <c r="TQ21" s="109"/>
      <c r="TR21" s="109"/>
      <c r="TS21" s="109"/>
      <c r="TT21" s="110">
        <f t="shared" si="258"/>
        <v>0</v>
      </c>
      <c r="TU21" s="111">
        <f t="shared" si="259"/>
        <v>0</v>
      </c>
      <c r="TV21" s="108"/>
      <c r="TW21" s="109"/>
      <c r="TX21" s="109"/>
      <c r="TY21" s="109"/>
      <c r="TZ21" s="109"/>
      <c r="UA21" s="109"/>
      <c r="UB21" s="110">
        <f t="shared" si="260"/>
        <v>0</v>
      </c>
      <c r="UC21" s="111">
        <f t="shared" si="261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2"/>
        <v>1332</v>
      </c>
      <c r="UK21" s="111">
        <f t="shared" si="263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4"/>
        <v>0</v>
      </c>
      <c r="UT21" s="111">
        <f t="shared" si="265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6"/>
        <v>1316</v>
      </c>
      <c r="VB21" s="111">
        <f t="shared" si="267"/>
        <v>219.33333333333334</v>
      </c>
      <c r="VC21" s="108"/>
      <c r="VD21" s="109"/>
      <c r="VE21" s="109"/>
      <c r="VF21" s="109"/>
      <c r="VG21" s="109"/>
      <c r="VH21" s="109"/>
      <c r="VI21" s="110">
        <f t="shared" si="268"/>
        <v>0</v>
      </c>
      <c r="VJ21" s="111">
        <f t="shared" si="269"/>
        <v>0</v>
      </c>
      <c r="VK21" s="108"/>
      <c r="VL21" s="109"/>
      <c r="VM21" s="109"/>
      <c r="VN21" s="109"/>
      <c r="VO21" s="109"/>
      <c r="VP21" s="109"/>
      <c r="VQ21" s="110">
        <f t="shared" si="270"/>
        <v>0</v>
      </c>
      <c r="VR21" s="111">
        <f t="shared" si="271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2"/>
        <v>2618</v>
      </c>
      <c r="VZ21" s="111">
        <f t="shared" si="273"/>
        <v>436.33333333333331</v>
      </c>
      <c r="WA21" s="65"/>
      <c r="WB21" s="66"/>
      <c r="WC21" s="66"/>
      <c r="WD21" s="66"/>
      <c r="WE21" s="66"/>
      <c r="WF21" s="66"/>
      <c r="WG21" s="69">
        <f t="shared" si="274"/>
        <v>0</v>
      </c>
      <c r="WH21" s="70">
        <f t="shared" si="275"/>
        <v>0</v>
      </c>
      <c r="WI21" s="50"/>
      <c r="WJ21" s="51"/>
      <c r="WK21" s="51"/>
      <c r="WL21" s="51"/>
      <c r="WM21" s="51">
        <v>1318</v>
      </c>
      <c r="WN21" s="51"/>
      <c r="WO21" s="69">
        <f t="shared" si="276"/>
        <v>1318</v>
      </c>
      <c r="WP21" s="70">
        <f t="shared" si="277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8"/>
        <v>1317</v>
      </c>
      <c r="WY21" s="70">
        <f t="shared" si="279"/>
        <v>219.5</v>
      </c>
      <c r="WZ21" s="50"/>
      <c r="XA21" s="51"/>
      <c r="XB21" s="51"/>
      <c r="XC21" s="51"/>
      <c r="XD21" s="51"/>
      <c r="XE21" s="51"/>
      <c r="XF21" s="51"/>
      <c r="XG21" s="69">
        <f t="shared" si="280"/>
        <v>0</v>
      </c>
      <c r="XH21" s="70">
        <f t="shared" si="281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2"/>
        <v>993</v>
      </c>
      <c r="XQ21" s="111">
        <f t="shared" si="283"/>
        <v>165.5</v>
      </c>
      <c r="XR21" s="50"/>
      <c r="XS21" s="51"/>
      <c r="XT21" s="51"/>
      <c r="XU21" s="51"/>
      <c r="XV21" s="51"/>
      <c r="XW21" s="51"/>
      <c r="XX21" s="51"/>
      <c r="XY21" s="69">
        <f t="shared" si="284"/>
        <v>0</v>
      </c>
      <c r="XZ21" s="70">
        <f t="shared" si="285"/>
        <v>0</v>
      </c>
      <c r="YA21" s="50"/>
      <c r="YB21" s="51"/>
      <c r="YC21" s="51"/>
      <c r="YD21" s="51"/>
      <c r="YE21" s="51"/>
      <c r="YF21" s="51"/>
      <c r="YG21" s="51"/>
      <c r="YH21" s="69">
        <f t="shared" si="286"/>
        <v>0</v>
      </c>
      <c r="YI21" s="70">
        <f t="shared" si="287"/>
        <v>0</v>
      </c>
      <c r="YJ21" s="50"/>
      <c r="YK21" s="51"/>
      <c r="YL21" s="51"/>
      <c r="YM21" s="51"/>
      <c r="YN21" s="51"/>
      <c r="YO21" s="51"/>
      <c r="YP21" s="51"/>
      <c r="YQ21" s="69">
        <f t="shared" si="288"/>
        <v>0</v>
      </c>
      <c r="YR21" s="70">
        <f t="shared" si="289"/>
        <v>0</v>
      </c>
      <c r="YS21" s="50">
        <v>657</v>
      </c>
      <c r="YT21" s="51"/>
      <c r="YU21" s="51"/>
      <c r="YV21" s="51"/>
      <c r="YW21" s="51"/>
      <c r="YX21" s="51"/>
      <c r="YY21" s="69">
        <f t="shared" si="290"/>
        <v>657</v>
      </c>
      <c r="YZ21" s="70">
        <f t="shared" si="291"/>
        <v>109.5</v>
      </c>
      <c r="ZA21" s="50"/>
      <c r="ZB21" s="51"/>
      <c r="ZC21" s="51"/>
      <c r="ZD21" s="51"/>
      <c r="ZE21" s="51"/>
      <c r="ZF21" s="51"/>
      <c r="ZG21" s="69">
        <f t="shared" si="292"/>
        <v>0</v>
      </c>
      <c r="ZH21" s="70">
        <f t="shared" si="293"/>
        <v>0</v>
      </c>
      <c r="ZI21" s="50"/>
      <c r="ZJ21" s="51"/>
      <c r="ZK21" s="51"/>
      <c r="ZL21" s="51"/>
      <c r="ZM21" s="51"/>
      <c r="ZN21" s="51"/>
      <c r="ZO21" s="69">
        <f t="shared" si="294"/>
        <v>0</v>
      </c>
      <c r="ZP21" s="70">
        <f t="shared" si="295"/>
        <v>0</v>
      </c>
      <c r="ZQ21" s="50"/>
      <c r="ZR21" s="51"/>
      <c r="ZS21" s="51"/>
      <c r="ZT21" s="51"/>
      <c r="ZU21" s="51"/>
      <c r="ZV21" s="51"/>
      <c r="ZW21" s="51"/>
      <c r="ZX21" s="67">
        <f t="shared" si="296"/>
        <v>0</v>
      </c>
      <c r="ZY21" s="70">
        <f t="shared" si="297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8"/>
        <v>974</v>
      </c>
      <c r="AAH21" s="70">
        <f t="shared" si="299"/>
        <v>162.33333333333334</v>
      </c>
      <c r="AAI21" s="50"/>
      <c r="AAJ21" s="51"/>
      <c r="AAK21" s="51"/>
      <c r="AAL21" s="51"/>
      <c r="AAM21" s="51"/>
      <c r="AAN21" s="51"/>
      <c r="AAO21" s="69">
        <f t="shared" si="300"/>
        <v>0</v>
      </c>
      <c r="AAP21" s="70">
        <f t="shared" si="301"/>
        <v>0</v>
      </c>
      <c r="AAQ21" s="50"/>
      <c r="AAR21" s="51"/>
      <c r="AAS21" s="51"/>
      <c r="AAT21" s="51"/>
      <c r="AAU21" s="51"/>
      <c r="AAV21" s="51"/>
      <c r="AAW21" s="69">
        <f t="shared" si="302"/>
        <v>0</v>
      </c>
      <c r="AAX21" s="70">
        <f t="shared" si="303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4"/>
        <v>645</v>
      </c>
      <c r="ABF21" s="70">
        <f t="shared" si="305"/>
        <v>107.5</v>
      </c>
      <c r="ABG21" s="50"/>
      <c r="ABH21" s="51"/>
      <c r="ABI21" s="51"/>
      <c r="ABJ21" s="51"/>
      <c r="ABK21" s="51"/>
      <c r="ABL21" s="51"/>
      <c r="ABM21" s="69">
        <f t="shared" si="306"/>
        <v>0</v>
      </c>
      <c r="ABN21" s="70">
        <f t="shared" si="307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8"/>
        <v>646</v>
      </c>
      <c r="ABV21" s="70">
        <f t="shared" si="309"/>
        <v>107.66666666666667</v>
      </c>
      <c r="ABW21" s="50"/>
      <c r="ABX21" s="51"/>
      <c r="ABY21" s="51"/>
      <c r="ABZ21" s="51"/>
      <c r="ACA21" s="51"/>
      <c r="ACB21" s="51"/>
      <c r="ACC21" s="69">
        <f t="shared" si="310"/>
        <v>0</v>
      </c>
      <c r="ACD21" s="70">
        <f t="shared" si="311"/>
        <v>0</v>
      </c>
      <c r="ACE21" s="50"/>
      <c r="ACF21" s="51"/>
      <c r="ACG21" s="51"/>
      <c r="ACH21" s="51"/>
      <c r="ACI21" s="51"/>
      <c r="ACJ21" s="51"/>
      <c r="ACK21" s="69">
        <f t="shared" si="312"/>
        <v>0</v>
      </c>
      <c r="ACL21" s="70">
        <f t="shared" si="313"/>
        <v>0</v>
      </c>
      <c r="ACM21" s="50"/>
      <c r="ACN21" s="51"/>
      <c r="ACO21" s="51"/>
      <c r="ACP21" s="51"/>
      <c r="ACQ21" s="51"/>
      <c r="ACR21" s="51"/>
      <c r="ACS21" s="69">
        <f t="shared" si="314"/>
        <v>0</v>
      </c>
      <c r="ACT21" s="70">
        <f t="shared" si="315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6"/>
        <v>662</v>
      </c>
      <c r="ADB21" s="70">
        <f t="shared" si="317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8"/>
        <v>662</v>
      </c>
      <c r="ADJ21" s="70">
        <f t="shared" si="319"/>
        <v>110.33333333333333</v>
      </c>
      <c r="ADK21" s="50"/>
      <c r="ADL21" s="51"/>
      <c r="ADM21" s="51"/>
      <c r="ADN21" s="51"/>
      <c r="ADO21" s="51"/>
      <c r="ADP21" s="51"/>
      <c r="ADQ21" s="69">
        <f t="shared" si="320"/>
        <v>0</v>
      </c>
      <c r="ADR21" s="70">
        <f t="shared" si="321"/>
        <v>0</v>
      </c>
      <c r="ADS21" s="50"/>
      <c r="ADT21" s="51"/>
      <c r="ADU21" s="51"/>
      <c r="ADV21" s="51"/>
      <c r="ADW21" s="51"/>
      <c r="ADX21" s="51"/>
      <c r="ADY21" s="69">
        <f t="shared" si="322"/>
        <v>0</v>
      </c>
      <c r="ADZ21" s="70">
        <f t="shared" si="323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4"/>
        <v>657</v>
      </c>
      <c r="AEH21" s="70">
        <f t="shared" si="325"/>
        <v>109.5</v>
      </c>
      <c r="AEI21" s="50"/>
      <c r="AEJ21" s="51"/>
      <c r="AEK21" s="51"/>
      <c r="AEL21" s="51"/>
      <c r="AEM21" s="51"/>
      <c r="AEN21" s="51"/>
      <c r="AEO21" s="69">
        <f t="shared" si="326"/>
        <v>0</v>
      </c>
      <c r="AEP21" s="70">
        <f t="shared" si="327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8"/>
        <v>666</v>
      </c>
      <c r="AEX21" s="70">
        <f t="shared" si="329"/>
        <v>111</v>
      </c>
      <c r="AEY21" s="50"/>
      <c r="AEZ21" s="51"/>
      <c r="AFA21" s="51"/>
      <c r="AFB21" s="51"/>
      <c r="AFC21" s="51"/>
      <c r="AFD21" s="51"/>
      <c r="AFE21" s="69">
        <f t="shared" si="330"/>
        <v>0</v>
      </c>
      <c r="AFF21" s="70">
        <f t="shared" si="331"/>
        <v>0</v>
      </c>
      <c r="AFG21" s="50"/>
      <c r="AFH21" s="51"/>
      <c r="AFI21" s="51"/>
      <c r="AFJ21" s="51"/>
      <c r="AFK21" s="51"/>
      <c r="AFL21" s="51"/>
      <c r="AFM21" s="69">
        <f t="shared" si="332"/>
        <v>0</v>
      </c>
      <c r="AFN21" s="70">
        <f t="shared" si="333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4"/>
        <v>665</v>
      </c>
      <c r="AFV21" s="70">
        <f t="shared" si="335"/>
        <v>110.83333333333333</v>
      </c>
      <c r="AFW21" s="50"/>
      <c r="AFX21" s="51"/>
      <c r="AFY21" s="51"/>
      <c r="AFZ21" s="51"/>
      <c r="AGA21" s="51"/>
      <c r="AGB21" s="51"/>
      <c r="AGC21" s="69">
        <f t="shared" si="336"/>
        <v>0</v>
      </c>
      <c r="AGD21" s="70">
        <f t="shared" si="337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8"/>
        <v>638</v>
      </c>
      <c r="AGL21" s="70">
        <f t="shared" si="339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40"/>
        <v>0</v>
      </c>
      <c r="AGU21" s="70">
        <f t="shared" si="341"/>
        <v>0</v>
      </c>
      <c r="AGV21" s="50"/>
      <c r="AGW21" s="51"/>
      <c r="AGX21" s="51"/>
      <c r="AGY21" s="51"/>
      <c r="AGZ21" s="51"/>
      <c r="AHA21" s="51"/>
      <c r="AHB21" s="69">
        <f t="shared" si="342"/>
        <v>0</v>
      </c>
      <c r="AHC21" s="70">
        <f t="shared" si="343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4"/>
        <v>660</v>
      </c>
      <c r="AHK21" s="70">
        <f t="shared" si="345"/>
        <v>22.758620689655171</v>
      </c>
      <c r="AHL21" s="50"/>
      <c r="AHM21" s="51"/>
      <c r="AHN21" s="51"/>
      <c r="AHO21" s="51"/>
      <c r="AHP21" s="51"/>
      <c r="AHQ21" s="51"/>
      <c r="AHR21" s="69">
        <f t="shared" si="346"/>
        <v>0</v>
      </c>
      <c r="AHS21" s="70">
        <f t="shared" si="347"/>
        <v>0</v>
      </c>
      <c r="AHT21" s="50"/>
      <c r="AHU21" s="51"/>
      <c r="AHV21" s="51"/>
      <c r="AHW21" s="51"/>
      <c r="AHX21" s="51"/>
      <c r="AHY21" s="51"/>
      <c r="AHZ21" s="69">
        <f t="shared" si="348"/>
        <v>0</v>
      </c>
      <c r="AIA21" s="70">
        <f t="shared" si="349"/>
        <v>0</v>
      </c>
      <c r="AIB21" s="50"/>
      <c r="AIC21" s="51"/>
      <c r="AID21" s="51"/>
      <c r="AIE21" s="51"/>
      <c r="AIF21" s="51"/>
      <c r="AIG21" s="51"/>
      <c r="AIH21" s="69">
        <f t="shared" si="350"/>
        <v>0</v>
      </c>
      <c r="AII21" s="70">
        <f t="shared" si="351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2"/>
        <v>651</v>
      </c>
      <c r="AIQ21" s="70">
        <f t="shared" si="353"/>
        <v>22.448275862068964</v>
      </c>
      <c r="AIR21" s="50"/>
      <c r="AIS21" s="51"/>
      <c r="AIT21" s="51"/>
      <c r="AIU21" s="51"/>
      <c r="AIV21" s="51"/>
      <c r="AIW21" s="51"/>
      <c r="AIX21" s="69">
        <f t="shared" si="354"/>
        <v>0</v>
      </c>
      <c r="AIY21" s="70">
        <f t="shared" si="355"/>
        <v>0</v>
      </c>
      <c r="AIZ21" s="50"/>
      <c r="AJA21" s="51"/>
      <c r="AJB21" s="51"/>
      <c r="AJC21" s="51"/>
      <c r="AJD21" s="51"/>
      <c r="AJE21" s="51"/>
      <c r="AJF21" s="69">
        <f t="shared" si="356"/>
        <v>0</v>
      </c>
      <c r="AJG21" s="70">
        <f t="shared" si="357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8"/>
        <v>635</v>
      </c>
      <c r="AJO21" s="53">
        <f t="shared" si="359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60"/>
        <v>1000</v>
      </c>
      <c r="AJW21" s="53">
        <f t="shared" si="361"/>
        <v>34.482758620689658</v>
      </c>
      <c r="AJX21" s="50"/>
      <c r="AJY21" s="51"/>
      <c r="AJZ21" s="51"/>
      <c r="AKA21" s="51"/>
      <c r="AKB21" s="51"/>
      <c r="AKC21" s="51"/>
      <c r="AKD21" s="69">
        <f t="shared" si="362"/>
        <v>0</v>
      </c>
      <c r="AKE21" s="70">
        <f t="shared" si="363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4"/>
        <v>645</v>
      </c>
      <c r="AKM21" s="184">
        <f t="shared" si="365"/>
        <v>107.5</v>
      </c>
      <c r="AKN21" s="196"/>
      <c r="AKO21" s="197"/>
      <c r="AKP21" s="197"/>
      <c r="AKQ21" s="197"/>
      <c r="AKR21" s="197"/>
      <c r="AKS21" s="197"/>
      <c r="AKT21" s="194">
        <f t="shared" si="366"/>
        <v>0</v>
      </c>
      <c r="AKU21" s="199">
        <f t="shared" si="367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8"/>
        <v>971</v>
      </c>
      <c r="ALC21" s="70">
        <f t="shared" si="369"/>
        <v>161.83333333333334</v>
      </c>
      <c r="ALD21" s="50"/>
      <c r="ALE21" s="51"/>
      <c r="ALF21" s="51"/>
      <c r="ALG21" s="51"/>
      <c r="ALH21" s="51"/>
      <c r="ALI21" s="51"/>
      <c r="ALJ21" s="69">
        <f t="shared" si="370"/>
        <v>0</v>
      </c>
      <c r="ALK21" s="70">
        <f t="shared" si="371"/>
        <v>0</v>
      </c>
      <c r="ALL21" s="50"/>
      <c r="ALM21" s="51"/>
      <c r="ALN21" s="51"/>
      <c r="ALO21" s="51"/>
      <c r="ALP21" s="51"/>
      <c r="ALQ21" s="51"/>
      <c r="ALR21" s="69">
        <f t="shared" si="372"/>
        <v>0</v>
      </c>
      <c r="ALS21" s="70">
        <f t="shared" si="373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4"/>
        <v>951</v>
      </c>
      <c r="AMA21" s="70">
        <f t="shared" si="375"/>
        <v>158.5</v>
      </c>
      <c r="AMB21" s="50"/>
      <c r="AMC21" s="51"/>
      <c r="AMD21" s="51"/>
      <c r="AME21" s="51"/>
      <c r="AMF21" s="51"/>
      <c r="AMG21" s="51"/>
      <c r="AMH21" s="69">
        <f t="shared" si="376"/>
        <v>0</v>
      </c>
      <c r="AMI21" s="70">
        <f t="shared" si="377"/>
        <v>0</v>
      </c>
      <c r="AMJ21" s="50"/>
      <c r="AMK21" s="51"/>
      <c r="AML21" s="51"/>
      <c r="AMM21" s="51"/>
      <c r="AMN21" s="51"/>
      <c r="AMO21" s="51"/>
      <c r="AMP21" s="69">
        <f t="shared" si="378"/>
        <v>0</v>
      </c>
      <c r="AMQ21" s="70">
        <f t="shared" si="379"/>
        <v>0</v>
      </c>
      <c r="AMR21" s="50"/>
      <c r="AMS21" s="51"/>
      <c r="AMT21" s="51"/>
      <c r="AMU21" s="51"/>
      <c r="AMV21" s="51"/>
      <c r="AMW21" s="51"/>
      <c r="AMX21" s="69">
        <f t="shared" si="380"/>
        <v>0</v>
      </c>
      <c r="AMY21" s="70">
        <f t="shared" si="381"/>
        <v>0</v>
      </c>
      <c r="AMZ21" s="50"/>
      <c r="ANA21" s="51"/>
      <c r="ANB21" s="51"/>
      <c r="ANC21" s="51"/>
      <c r="AND21" s="51"/>
      <c r="ANE21" s="51"/>
      <c r="ANF21" s="69">
        <f t="shared" si="382"/>
        <v>0</v>
      </c>
      <c r="ANG21" s="70">
        <f t="shared" si="383"/>
        <v>0</v>
      </c>
      <c r="ANH21" s="50"/>
      <c r="ANI21" s="51"/>
      <c r="ANJ21" s="51"/>
      <c r="ANK21" s="51"/>
      <c r="ANL21" s="51"/>
      <c r="ANM21" s="51"/>
      <c r="ANN21" s="67">
        <f t="shared" si="384"/>
        <v>0</v>
      </c>
      <c r="ANO21" s="68">
        <f t="shared" si="385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6"/>
        <v>643</v>
      </c>
      <c r="ANW21" s="70">
        <f t="shared" si="387"/>
        <v>107.16666666666667</v>
      </c>
      <c r="ANX21" s="84"/>
      <c r="ANY21" s="85"/>
      <c r="ANZ21" s="85"/>
      <c r="AOA21" s="85"/>
      <c r="AOB21" s="85"/>
      <c r="AOC21" s="85"/>
      <c r="AOD21" s="69">
        <f t="shared" si="388"/>
        <v>0</v>
      </c>
      <c r="AOE21" s="70">
        <f t="shared" si="389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90"/>
        <v>646</v>
      </c>
      <c r="AOM21" s="70">
        <f t="shared" si="391"/>
        <v>107.66666666666667</v>
      </c>
      <c r="AON21" s="50"/>
      <c r="AOO21" s="51"/>
      <c r="AOP21" s="51"/>
      <c r="AOQ21" s="51"/>
      <c r="AOR21" s="51"/>
      <c r="AOS21" s="51"/>
      <c r="AOT21" s="69">
        <f t="shared" si="392"/>
        <v>0</v>
      </c>
      <c r="AOU21" s="70">
        <f t="shared" si="393"/>
        <v>0</v>
      </c>
      <c r="AOV21" s="50"/>
      <c r="AOW21" s="51"/>
      <c r="AOX21" s="51"/>
      <c r="AOY21" s="51"/>
      <c r="AOZ21" s="51"/>
      <c r="APA21" s="51"/>
      <c r="APB21" s="69">
        <f t="shared" si="394"/>
        <v>0</v>
      </c>
      <c r="APC21" s="70">
        <f t="shared" si="395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6"/>
        <v>664</v>
      </c>
      <c r="APK21" s="70">
        <f t="shared" si="397"/>
        <v>110.66666666666667</v>
      </c>
      <c r="APL21" s="50"/>
      <c r="APM21" s="51"/>
      <c r="APN21" s="51"/>
      <c r="APO21" s="51"/>
      <c r="APP21" s="51"/>
      <c r="APQ21" s="51"/>
      <c r="APR21" s="69">
        <f t="shared" si="398"/>
        <v>0</v>
      </c>
      <c r="APS21" s="70">
        <f t="shared" si="399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400"/>
        <v>658</v>
      </c>
      <c r="AQA21" s="70">
        <f t="shared" si="401"/>
        <v>109.66666666666667</v>
      </c>
      <c r="AQB21" s="50"/>
      <c r="AQC21" s="51"/>
      <c r="AQD21" s="51"/>
      <c r="AQE21" s="51"/>
      <c r="AQF21" s="51"/>
      <c r="AQG21" s="51"/>
      <c r="AQH21" s="69">
        <f t="shared" si="402"/>
        <v>0</v>
      </c>
      <c r="AQI21" s="70">
        <f t="shared" si="403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4"/>
        <v>648</v>
      </c>
      <c r="AQQ21" s="70">
        <f t="shared" si="405"/>
        <v>108</v>
      </c>
      <c r="AQR21" s="50"/>
      <c r="AQS21" s="51"/>
      <c r="AQT21" s="51"/>
      <c r="AQU21" s="51"/>
      <c r="AQV21" s="51"/>
      <c r="AQW21" s="51"/>
      <c r="AQX21" s="69">
        <f t="shared" si="406"/>
        <v>0</v>
      </c>
      <c r="AQY21" s="70">
        <f t="shared" si="407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8"/>
        <v>633</v>
      </c>
      <c r="ARG21" s="70">
        <f t="shared" si="409"/>
        <v>105.5</v>
      </c>
      <c r="ARH21" s="50"/>
      <c r="ARI21" s="51"/>
      <c r="ARJ21" s="51"/>
      <c r="ARK21" s="51"/>
      <c r="ARL21" s="51"/>
      <c r="ARM21" s="51"/>
      <c r="ARN21" s="69">
        <f t="shared" si="410"/>
        <v>0</v>
      </c>
      <c r="ARO21" s="70">
        <f t="shared" si="411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2"/>
        <v>629</v>
      </c>
      <c r="ARW21" s="70">
        <f t="shared" si="413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4"/>
        <v>646</v>
      </c>
      <c r="ASE21" s="70">
        <f t="shared" si="415"/>
        <v>107.66666666666667</v>
      </c>
      <c r="ASF21" s="50"/>
      <c r="ASG21" s="51"/>
      <c r="ASH21" s="51"/>
      <c r="ASI21" s="51"/>
      <c r="ASJ21" s="51"/>
      <c r="ASK21" s="51"/>
      <c r="ASL21" s="69">
        <f t="shared" si="416"/>
        <v>0</v>
      </c>
      <c r="ASM21" s="70">
        <f t="shared" si="417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8"/>
        <v>674</v>
      </c>
      <c r="ASU21" s="70">
        <f t="shared" si="419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20"/>
        <v>667</v>
      </c>
      <c r="ATC21" s="70">
        <f t="shared" si="421"/>
        <v>111.16666666666667</v>
      </c>
      <c r="ATD21" s="50"/>
      <c r="ATE21" s="51"/>
      <c r="ATF21" s="51"/>
      <c r="ATG21" s="51"/>
      <c r="ATH21" s="51"/>
      <c r="ATI21" s="51"/>
      <c r="ATJ21" s="69">
        <f t="shared" si="422"/>
        <v>0</v>
      </c>
      <c r="ATK21" s="70">
        <f t="shared" si="423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4"/>
        <v>572</v>
      </c>
      <c r="ATS21" s="70">
        <f t="shared" si="425"/>
        <v>95.333333333333329</v>
      </c>
      <c r="ATT21" s="50"/>
      <c r="ATU21" s="51"/>
      <c r="ATV21" s="51"/>
      <c r="ATW21" s="51"/>
      <c r="ATX21" s="51"/>
      <c r="ATY21" s="51"/>
      <c r="ATZ21" s="69">
        <f t="shared" si="426"/>
        <v>0</v>
      </c>
      <c r="AUA21" s="70">
        <f t="shared" si="427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8"/>
        <v>1281</v>
      </c>
      <c r="AUI21" s="70">
        <f t="shared" si="429"/>
        <v>213.5</v>
      </c>
      <c r="AUJ21" s="50"/>
      <c r="AUK21" s="51"/>
      <c r="AUL21" s="51"/>
      <c r="AUM21" s="51"/>
      <c r="AUN21" s="51"/>
      <c r="AUO21" s="51"/>
      <c r="AUP21" s="69">
        <f t="shared" si="430"/>
        <v>0</v>
      </c>
      <c r="AUQ21" s="70">
        <f t="shared" si="431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2"/>
        <v>981</v>
      </c>
      <c r="AUY21" s="70">
        <f t="shared" si="433"/>
        <v>163.5</v>
      </c>
      <c r="AUZ21" s="50"/>
      <c r="AVA21" s="51"/>
      <c r="AVB21" s="51"/>
      <c r="AVC21" s="51"/>
      <c r="AVD21" s="51"/>
      <c r="AVE21" s="51"/>
      <c r="AVF21" s="69">
        <f t="shared" si="434"/>
        <v>0</v>
      </c>
      <c r="AVG21" s="70">
        <f t="shared" si="435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6"/>
        <v>300</v>
      </c>
      <c r="AVO21" s="70">
        <f t="shared" si="437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8"/>
        <v>657</v>
      </c>
      <c r="AVW21" s="70">
        <f t="shared" si="439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40"/>
        <v>648</v>
      </c>
      <c r="AWE21" s="70">
        <f t="shared" si="441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2"/>
        <v>659</v>
      </c>
      <c r="AWM21" s="70">
        <f t="shared" si="443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4"/>
        <v>969</v>
      </c>
      <c r="AWU21" s="53">
        <f t="shared" si="445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6"/>
        <v>647</v>
      </c>
      <c r="AXC21" s="53">
        <f t="shared" si="447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8"/>
        <v>1984</v>
      </c>
      <c r="AXK21" s="53">
        <f t="shared" si="449"/>
        <v>330.66666666666669</v>
      </c>
      <c r="AXL21" s="50"/>
      <c r="AXM21" s="51"/>
      <c r="AXN21" s="51"/>
      <c r="AXO21" s="51"/>
      <c r="AXP21" s="51"/>
      <c r="AXQ21" s="51"/>
      <c r="AXR21" s="52">
        <f t="shared" si="450"/>
        <v>0</v>
      </c>
      <c r="AXS21" s="53">
        <f t="shared" si="451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2"/>
        <v>961</v>
      </c>
      <c r="AYA21" s="53">
        <f t="shared" si="453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4"/>
        <v>961</v>
      </c>
      <c r="AYI21" s="53">
        <f t="shared" si="455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6"/>
        <v>965</v>
      </c>
      <c r="AYQ21" s="53">
        <f t="shared" si="457"/>
        <v>160.83333333333334</v>
      </c>
      <c r="AYR21" s="50"/>
      <c r="AYS21" s="51"/>
      <c r="AYT21" s="51"/>
      <c r="AYU21" s="51"/>
      <c r="AYV21" s="51"/>
      <c r="AYW21" s="51"/>
      <c r="AYX21" s="52">
        <f t="shared" si="458"/>
        <v>0</v>
      </c>
      <c r="AYY21" s="53">
        <f t="shared" si="459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60"/>
        <v>966</v>
      </c>
      <c r="AZG21" s="53">
        <f t="shared" si="461"/>
        <v>161</v>
      </c>
      <c r="AZH21" s="50"/>
      <c r="AZI21" s="51"/>
      <c r="AZJ21" s="51"/>
      <c r="AZK21" s="51"/>
      <c r="AZL21" s="51"/>
      <c r="AZM21" s="51"/>
      <c r="AZN21" s="52">
        <f t="shared" si="462"/>
        <v>0</v>
      </c>
      <c r="AZO21" s="53">
        <f t="shared" si="463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4"/>
        <v>660</v>
      </c>
      <c r="AZW21" s="53">
        <f t="shared" si="465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6"/>
        <v>652</v>
      </c>
      <c r="BAE21" s="53">
        <f t="shared" si="467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8"/>
        <v>976</v>
      </c>
      <c r="BAM21" s="53">
        <f t="shared" si="469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70"/>
        <v>653</v>
      </c>
      <c r="BAU21" s="53">
        <f t="shared" si="471"/>
        <v>108.83333333333333</v>
      </c>
      <c r="BAV21" s="50"/>
      <c r="BAW21" s="51"/>
      <c r="BAX21" s="51"/>
      <c r="BAY21" s="51"/>
      <c r="BAZ21" s="51"/>
      <c r="BBA21" s="51"/>
      <c r="BBB21" s="52">
        <f t="shared" si="472"/>
        <v>0</v>
      </c>
      <c r="BBC21" s="53">
        <f t="shared" si="473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4"/>
        <v>994</v>
      </c>
      <c r="BBK21" s="53">
        <f t="shared" si="475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6"/>
        <v>657</v>
      </c>
      <c r="BBS21" s="53">
        <f t="shared" si="477"/>
        <v>109.5</v>
      </c>
      <c r="BBT21" s="50"/>
      <c r="BBU21" s="51"/>
      <c r="BBV21" s="51"/>
      <c r="BBW21" s="51"/>
      <c r="BBX21" s="51"/>
      <c r="BBY21" s="51"/>
      <c r="BBZ21" s="52">
        <f t="shared" si="478"/>
        <v>0</v>
      </c>
      <c r="BCA21" s="53">
        <f t="shared" si="479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8">SUM(BCB21:BCG21)</f>
        <v>1303</v>
      </c>
      <c r="BCI21" s="43">
        <f t="shared" ref="BCI21" si="1219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2"/>
        <v>651</v>
      </c>
      <c r="BCQ21" s="53">
        <f t="shared" si="483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4"/>
        <v>651</v>
      </c>
      <c r="BCY21" s="53">
        <f t="shared" si="485"/>
        <v>108.5</v>
      </c>
      <c r="BCZ21" s="50"/>
      <c r="BDA21" s="51"/>
      <c r="BDB21" s="51"/>
      <c r="BDC21" s="51"/>
      <c r="BDD21" s="51"/>
      <c r="BDE21" s="51"/>
      <c r="BDF21" s="52">
        <f t="shared" si="486"/>
        <v>0</v>
      </c>
      <c r="BDG21" s="53">
        <f t="shared" si="487"/>
        <v>0</v>
      </c>
      <c r="BDH21" s="50"/>
      <c r="BDI21" s="51"/>
      <c r="BDJ21" s="51"/>
      <c r="BDK21" s="51"/>
      <c r="BDL21" s="51"/>
      <c r="BDM21" s="51"/>
      <c r="BDN21" s="52">
        <f t="shared" si="488"/>
        <v>0</v>
      </c>
      <c r="BDO21" s="53">
        <f t="shared" si="489"/>
        <v>0</v>
      </c>
      <c r="BDP21" s="50"/>
      <c r="BDQ21" s="51"/>
      <c r="BDR21" s="51"/>
      <c r="BDS21" s="51"/>
      <c r="BDT21" s="51"/>
      <c r="BDU21" s="51"/>
      <c r="BDV21" s="52">
        <f t="shared" si="490"/>
        <v>0</v>
      </c>
      <c r="BDW21" s="53">
        <f t="shared" si="491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2"/>
        <v>640</v>
      </c>
      <c r="BEE21" s="53">
        <f t="shared" si="493"/>
        <v>106.66666666666667</v>
      </c>
      <c r="BEF21" s="50"/>
      <c r="BEG21" s="51"/>
      <c r="BEH21" s="51"/>
      <c r="BEI21" s="51"/>
      <c r="BEJ21" s="51"/>
      <c r="BEK21" s="51"/>
      <c r="BEL21" s="52">
        <f t="shared" si="494"/>
        <v>0</v>
      </c>
      <c r="BEM21" s="53">
        <f t="shared" si="495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6"/>
        <v>647</v>
      </c>
      <c r="BEU21" s="53">
        <f t="shared" si="497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8"/>
        <v>1288</v>
      </c>
      <c r="BFC21" s="53">
        <f t="shared" si="499"/>
        <v>214.66666666666666</v>
      </c>
      <c r="BFD21" s="50"/>
      <c r="BFE21" s="51"/>
      <c r="BFF21" s="51"/>
      <c r="BFG21" s="51"/>
      <c r="BFH21" s="51"/>
      <c r="BFI21" s="51"/>
      <c r="BFJ21" s="52">
        <f t="shared" si="500"/>
        <v>0</v>
      </c>
      <c r="BFK21" s="53">
        <f t="shared" si="501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2"/>
        <v>651</v>
      </c>
      <c r="BFS21" s="53">
        <f t="shared" si="503"/>
        <v>108.5</v>
      </c>
      <c r="BFT21" s="50"/>
      <c r="BFU21" s="51"/>
      <c r="BFV21" s="51"/>
      <c r="BFW21" s="51"/>
      <c r="BFX21" s="51"/>
      <c r="BFY21" s="51"/>
      <c r="BFZ21" s="52">
        <f t="shared" si="504"/>
        <v>0</v>
      </c>
      <c r="BGA21" s="53">
        <f t="shared" si="505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6"/>
        <v>639</v>
      </c>
      <c r="BGI21" s="53">
        <f t="shared" si="507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8"/>
        <v>634</v>
      </c>
      <c r="BGQ21" s="53">
        <f t="shared" si="509"/>
        <v>105.66666666666667</v>
      </c>
      <c r="BGR21" s="50"/>
      <c r="BGS21" s="51"/>
      <c r="BGT21" s="51"/>
      <c r="BGU21" s="51"/>
      <c r="BGV21" s="51"/>
      <c r="BGW21" s="51"/>
      <c r="BGX21" s="52">
        <f t="shared" si="510"/>
        <v>0</v>
      </c>
      <c r="BGY21" s="53">
        <f t="shared" si="511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2"/>
        <v>1260</v>
      </c>
      <c r="BHG21" s="53">
        <f t="shared" si="513"/>
        <v>210</v>
      </c>
      <c r="BHH21" s="65"/>
      <c r="BHI21" s="66"/>
      <c r="BHJ21" s="66"/>
      <c r="BHK21" s="66"/>
      <c r="BHL21" s="66"/>
      <c r="BHM21" s="66"/>
      <c r="BHN21" s="52">
        <f t="shared" si="514"/>
        <v>0</v>
      </c>
      <c r="BHO21" s="53">
        <f t="shared" si="515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6"/>
        <v>651</v>
      </c>
      <c r="BHW21" s="53">
        <f t="shared" si="517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8"/>
        <v>639</v>
      </c>
      <c r="BIE21" s="53">
        <f t="shared" si="519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20"/>
        <v>655</v>
      </c>
      <c r="BIM21" s="53">
        <f t="shared" si="521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2"/>
        <v>1613</v>
      </c>
      <c r="BIU21" s="53">
        <f t="shared" si="523"/>
        <v>268.83333333333331</v>
      </c>
      <c r="BIV21" s="50"/>
      <c r="BIW21" s="51"/>
      <c r="BIX21" s="51"/>
      <c r="BIY21" s="51"/>
      <c r="BIZ21" s="51"/>
      <c r="BJA21" s="51"/>
      <c r="BJB21" s="52">
        <f t="shared" si="524"/>
        <v>0</v>
      </c>
      <c r="BJC21" s="53">
        <f t="shared" si="525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6"/>
        <v>637</v>
      </c>
      <c r="BJK21" s="53">
        <f t="shared" si="527"/>
        <v>106.16666666666667</v>
      </c>
      <c r="BJL21" s="50"/>
      <c r="BJM21" s="51"/>
      <c r="BJN21" s="51"/>
      <c r="BJO21" s="51"/>
      <c r="BJP21" s="51"/>
      <c r="BJQ21" s="51"/>
      <c r="BJR21" s="52">
        <f t="shared" si="528"/>
        <v>0</v>
      </c>
      <c r="BJS21" s="53">
        <f t="shared" si="529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30"/>
        <v>973</v>
      </c>
      <c r="BKA21" s="43">
        <f t="shared" si="531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2"/>
        <v>955</v>
      </c>
      <c r="BKI21" s="70">
        <f t="shared" si="533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4"/>
        <v>986</v>
      </c>
      <c r="BKQ21" s="53">
        <f t="shared" si="535"/>
        <v>164.33333333333334</v>
      </c>
      <c r="BKR21" s="50"/>
      <c r="BKS21" s="51"/>
      <c r="BKT21" s="51"/>
      <c r="BKU21" s="51"/>
      <c r="BKV21" s="51"/>
      <c r="BKW21" s="51"/>
      <c r="BKX21" s="52">
        <f t="shared" si="536"/>
        <v>0</v>
      </c>
      <c r="BKY21" s="53">
        <f t="shared" si="537"/>
        <v>0</v>
      </c>
      <c r="BKZ21" s="50"/>
      <c r="BLA21" s="51"/>
      <c r="BLB21" s="51"/>
      <c r="BLC21" s="51"/>
      <c r="BLD21" s="51"/>
      <c r="BLE21" s="51"/>
      <c r="BLF21" s="52">
        <f t="shared" si="538"/>
        <v>0</v>
      </c>
      <c r="BLG21" s="53">
        <f t="shared" si="539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40"/>
        <v>992</v>
      </c>
      <c r="BLO21" s="53">
        <f t="shared" si="541"/>
        <v>165.33333333333334</v>
      </c>
      <c r="BLP21" s="50"/>
      <c r="BLQ21" s="51"/>
      <c r="BLR21" s="51"/>
      <c r="BLS21" s="51"/>
      <c r="BLT21" s="51"/>
      <c r="BLU21" s="51"/>
      <c r="BLV21" s="52">
        <f t="shared" si="542"/>
        <v>0</v>
      </c>
      <c r="BLW21" s="53">
        <f t="shared" si="543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4"/>
        <v>955</v>
      </c>
      <c r="BME21" s="53">
        <f t="shared" si="545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6"/>
        <v>631</v>
      </c>
      <c r="BMM21" s="53">
        <f t="shared" si="547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8"/>
        <v>950</v>
      </c>
      <c r="BMU21" s="53">
        <f t="shared" si="549"/>
        <v>158.33333333333334</v>
      </c>
      <c r="BMV21" s="50"/>
      <c r="BMW21" s="51"/>
      <c r="BMX21" s="51"/>
      <c r="BMY21" s="51"/>
      <c r="BMZ21" s="51"/>
      <c r="BNA21" s="51"/>
      <c r="BNB21" s="52">
        <f t="shared" si="550"/>
        <v>0</v>
      </c>
      <c r="BNC21" s="53">
        <f t="shared" si="551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2"/>
        <v>952</v>
      </c>
      <c r="BNK21" s="53">
        <f t="shared" si="553"/>
        <v>158.66666666666666</v>
      </c>
      <c r="BNL21" s="50"/>
      <c r="BNM21" s="51"/>
      <c r="BNN21" s="51"/>
      <c r="BNO21" s="51"/>
      <c r="BNP21" s="51"/>
      <c r="BNQ21" s="51"/>
      <c r="BNR21" s="52">
        <f t="shared" si="554"/>
        <v>0</v>
      </c>
      <c r="BNS21" s="53">
        <f t="shared" si="555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6"/>
        <v>980</v>
      </c>
      <c r="BOA21" s="53">
        <f t="shared" si="557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8"/>
        <v>640</v>
      </c>
      <c r="BOI21" s="53">
        <f t="shared" si="559"/>
        <v>106.66666666666667</v>
      </c>
      <c r="BOJ21" s="50"/>
      <c r="BOK21" s="51"/>
      <c r="BOL21" s="51"/>
      <c r="BOM21" s="51"/>
      <c r="BON21" s="51"/>
      <c r="BOO21" s="51"/>
      <c r="BOP21" s="52">
        <f t="shared" si="560"/>
        <v>0</v>
      </c>
      <c r="BOQ21" s="53">
        <f t="shared" si="561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2"/>
        <v>993</v>
      </c>
      <c r="BOY21" s="53">
        <f t="shared" si="563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4"/>
        <v>752</v>
      </c>
      <c r="BPG21" s="53">
        <f t="shared" si="565"/>
        <v>125.33333333333333</v>
      </c>
      <c r="BPH21" s="50"/>
      <c r="BPI21" s="51"/>
      <c r="BPJ21" s="51"/>
      <c r="BPK21" s="51"/>
      <c r="BPL21" s="51"/>
      <c r="BPM21" s="51"/>
      <c r="BPN21" s="52">
        <f t="shared" si="566"/>
        <v>0</v>
      </c>
      <c r="BPO21" s="53">
        <f t="shared" si="567"/>
        <v>0</v>
      </c>
      <c r="BPP21" s="50"/>
      <c r="BPQ21" s="51"/>
      <c r="BPR21" s="51"/>
      <c r="BPS21" s="51"/>
      <c r="BPT21" s="51"/>
      <c r="BPU21" s="51"/>
      <c r="BPV21" s="52">
        <f t="shared" si="568"/>
        <v>0</v>
      </c>
      <c r="BPW21" s="53">
        <f t="shared" si="569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70"/>
        <v>650</v>
      </c>
      <c r="BQE21" s="53">
        <f t="shared" si="571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2"/>
        <v>1308</v>
      </c>
      <c r="BQM21" s="53">
        <f t="shared" si="573"/>
        <v>218</v>
      </c>
      <c r="BQN21" s="65"/>
      <c r="BQO21" s="66"/>
      <c r="BQP21" s="66"/>
      <c r="BQQ21" s="66"/>
      <c r="BQR21" s="66"/>
      <c r="BQS21" s="66"/>
      <c r="BQT21" s="69">
        <f t="shared" si="574"/>
        <v>0</v>
      </c>
      <c r="BQU21" s="53">
        <f t="shared" si="575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6"/>
        <v>661</v>
      </c>
      <c r="BRC21" s="43">
        <f t="shared" si="577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8"/>
        <v>805</v>
      </c>
      <c r="BRK21" s="53">
        <f t="shared" si="579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80"/>
        <v>990</v>
      </c>
      <c r="BRS21" s="68">
        <f t="shared" si="581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2"/>
        <v>645</v>
      </c>
      <c r="BSA21" s="53">
        <f t="shared" si="583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4"/>
        <v>1641</v>
      </c>
      <c r="BSI21" s="53">
        <f t="shared" si="585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6"/>
        <v>977</v>
      </c>
      <c r="BSQ21" s="53">
        <f t="shared" si="587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8"/>
        <v>978</v>
      </c>
      <c r="BSY21" s="53">
        <f t="shared" si="589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90"/>
        <v>976</v>
      </c>
      <c r="BTG21" s="43">
        <f t="shared" si="591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2"/>
        <v>1314</v>
      </c>
      <c r="BTO21" s="70">
        <f t="shared" si="593"/>
        <v>219</v>
      </c>
      <c r="BTP21" s="50"/>
      <c r="BTQ21" s="51"/>
      <c r="BTR21" s="51"/>
      <c r="BTS21" s="51"/>
      <c r="BTT21" s="51"/>
      <c r="BTU21" s="51"/>
      <c r="BTV21" s="69">
        <f t="shared" si="594"/>
        <v>0</v>
      </c>
      <c r="BTW21" s="53">
        <f t="shared" si="595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6"/>
        <v>651</v>
      </c>
      <c r="BUE21" s="70">
        <f t="shared" si="597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8"/>
        <v>333</v>
      </c>
      <c r="BUM21" s="70">
        <f t="shared" si="599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600"/>
        <v>2323</v>
      </c>
      <c r="BUU21" s="70">
        <f t="shared" si="601"/>
        <v>387.16666666666669</v>
      </c>
      <c r="BUV21" s="50"/>
      <c r="BUW21" s="51"/>
      <c r="BUX21" s="51"/>
      <c r="BUY21" s="51"/>
      <c r="BUZ21" s="51"/>
      <c r="BVA21" s="51"/>
      <c r="BVB21" s="69">
        <f t="shared" si="602"/>
        <v>0</v>
      </c>
      <c r="BVC21" s="70">
        <f t="shared" si="603"/>
        <v>0</v>
      </c>
      <c r="BVD21" s="50"/>
      <c r="BVE21" s="51"/>
      <c r="BVF21" s="51"/>
      <c r="BVG21" s="51"/>
      <c r="BVH21" s="51"/>
      <c r="BVI21" s="51"/>
      <c r="BVJ21" s="69">
        <f t="shared" si="604"/>
        <v>0</v>
      </c>
      <c r="BVK21" s="70">
        <f t="shared" si="605"/>
        <v>0</v>
      </c>
      <c r="BVL21" s="50"/>
      <c r="BVM21" s="51"/>
      <c r="BVN21" s="51"/>
      <c r="BVO21" s="51"/>
      <c r="BVP21" s="51"/>
      <c r="BVQ21" s="51"/>
      <c r="BVR21" s="69">
        <f t="shared" si="606"/>
        <v>0</v>
      </c>
      <c r="BVS21" s="70">
        <f t="shared" si="607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8"/>
        <v>318</v>
      </c>
      <c r="BWA21" s="70">
        <f t="shared" si="609"/>
        <v>53</v>
      </c>
      <c r="BWB21" s="50"/>
      <c r="BWC21" s="51"/>
      <c r="BWD21" s="51"/>
      <c r="BWE21" s="51"/>
      <c r="BWF21" s="51"/>
      <c r="BWG21" s="51"/>
      <c r="BWH21" s="69">
        <f t="shared" si="610"/>
        <v>0</v>
      </c>
      <c r="BWI21" s="70">
        <f t="shared" si="611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2"/>
        <v>308</v>
      </c>
      <c r="BWQ21" s="70">
        <f t="shared" si="613"/>
        <v>51.333333333333336</v>
      </c>
      <c r="BWR21" s="50"/>
      <c r="BWS21" s="51"/>
      <c r="BWT21" s="51"/>
      <c r="BWU21" s="51"/>
      <c r="BWV21" s="51"/>
      <c r="BWW21" s="51"/>
      <c r="BWX21" s="69">
        <f t="shared" si="614"/>
        <v>0</v>
      </c>
      <c r="BWY21" s="70">
        <f t="shared" si="615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6"/>
        <v>321</v>
      </c>
      <c r="BXG21" s="70">
        <f t="shared" si="617"/>
        <v>53.5</v>
      </c>
      <c r="BXH21" s="50"/>
      <c r="BXI21" s="51"/>
      <c r="BXJ21" s="51"/>
      <c r="BXK21" s="51"/>
      <c r="BXL21" s="51"/>
      <c r="BXM21" s="51"/>
      <c r="BXN21" s="69">
        <f t="shared" si="618"/>
        <v>0</v>
      </c>
      <c r="BXO21" s="70">
        <f t="shared" si="619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20"/>
        <v>53.5</v>
      </c>
      <c r="BXX21" s="50"/>
      <c r="BXY21" s="51"/>
      <c r="BXZ21" s="51"/>
      <c r="BYA21" s="51"/>
      <c r="BYB21" s="51"/>
      <c r="BYC21" s="51"/>
      <c r="BYD21" s="69">
        <f t="shared" si="621"/>
        <v>0</v>
      </c>
      <c r="BYE21" s="70">
        <f t="shared" si="622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3"/>
        <v>322</v>
      </c>
      <c r="BYM21" s="70">
        <f t="shared" si="624"/>
        <v>53.666666666666664</v>
      </c>
      <c r="BYN21" s="50"/>
      <c r="BYO21" s="51"/>
      <c r="BYP21" s="51"/>
      <c r="BYQ21" s="51"/>
      <c r="BYR21" s="51"/>
      <c r="BYS21" s="51"/>
      <c r="BYT21" s="69">
        <f t="shared" si="625"/>
        <v>0</v>
      </c>
      <c r="BYU21" s="70">
        <f t="shared" si="626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7"/>
        <v>378</v>
      </c>
      <c r="BZC21" s="70">
        <f t="shared" si="628"/>
        <v>63</v>
      </c>
      <c r="BZD21" s="50"/>
      <c r="BZE21" s="51"/>
      <c r="BZF21" s="51"/>
      <c r="BZG21" s="51"/>
      <c r="BZH21" s="51"/>
      <c r="BZI21" s="51"/>
      <c r="BZJ21" s="69">
        <f t="shared" si="629"/>
        <v>0</v>
      </c>
      <c r="BZK21" s="70">
        <f t="shared" si="630"/>
        <v>0</v>
      </c>
      <c r="BZL21" s="50"/>
      <c r="BZM21" s="51"/>
      <c r="BZN21" s="51"/>
      <c r="BZO21" s="51"/>
      <c r="BZP21" s="51"/>
      <c r="BZQ21" s="51"/>
      <c r="BZR21" s="69">
        <f t="shared" si="631"/>
        <v>0</v>
      </c>
      <c r="BZS21" s="70">
        <f t="shared" si="632"/>
        <v>0</v>
      </c>
      <c r="BZT21" s="50"/>
      <c r="BZU21" s="51"/>
      <c r="BZV21" s="51"/>
      <c r="BZW21" s="51"/>
      <c r="BZX21" s="51"/>
      <c r="BZY21" s="51"/>
      <c r="BZZ21" s="69">
        <f t="shared" si="633"/>
        <v>0</v>
      </c>
      <c r="CAA21" s="70">
        <f t="shared" si="634"/>
        <v>0</v>
      </c>
      <c r="CAB21" s="50"/>
      <c r="CAC21" s="51"/>
      <c r="CAD21" s="51"/>
      <c r="CAE21" s="51"/>
      <c r="CAF21" s="51"/>
      <c r="CAG21" s="51"/>
      <c r="CAH21" s="69">
        <f t="shared" si="635"/>
        <v>0</v>
      </c>
      <c r="CAI21" s="70">
        <f t="shared" si="636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7"/>
        <v>281</v>
      </c>
      <c r="CAQ21" s="70">
        <f t="shared" si="638"/>
        <v>46.833333333333336</v>
      </c>
      <c r="CAR21" s="65"/>
      <c r="CAS21" s="66"/>
      <c r="CAT21" s="66"/>
      <c r="CAU21" s="66"/>
      <c r="CAV21" s="66"/>
      <c r="CAW21" s="66"/>
      <c r="CAX21" s="69">
        <f t="shared" si="639"/>
        <v>0</v>
      </c>
      <c r="CAY21" s="70">
        <f t="shared" si="640"/>
        <v>0</v>
      </c>
      <c r="CAZ21" s="50"/>
      <c r="CBA21" s="51"/>
      <c r="CBB21" s="51"/>
      <c r="CBC21" s="51"/>
      <c r="CBD21" s="51"/>
      <c r="CBE21" s="51"/>
      <c r="CBF21" s="69">
        <f t="shared" si="641"/>
        <v>0</v>
      </c>
      <c r="CBG21" s="70">
        <f t="shared" si="642"/>
        <v>0</v>
      </c>
      <c r="CBH21" s="50"/>
      <c r="CBI21" s="51"/>
      <c r="CBJ21" s="51"/>
      <c r="CBK21" s="51"/>
      <c r="CBL21" s="51"/>
      <c r="CBM21" s="51"/>
      <c r="CBN21" s="69">
        <f t="shared" si="643"/>
        <v>0</v>
      </c>
      <c r="CBO21" s="70">
        <f t="shared" si="644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5"/>
        <v>340</v>
      </c>
      <c r="CBW21" s="70">
        <f t="shared" si="646"/>
        <v>56.666666666666664</v>
      </c>
      <c r="CBX21" s="50"/>
      <c r="CBY21" s="51"/>
      <c r="CBZ21" s="51"/>
      <c r="CCA21" s="51"/>
      <c r="CCB21" s="51"/>
      <c r="CCC21" s="51"/>
      <c r="CCD21" s="69">
        <f t="shared" si="647"/>
        <v>0</v>
      </c>
      <c r="CCE21" s="70">
        <f t="shared" si="648"/>
        <v>0</v>
      </c>
      <c r="CCF21" s="50"/>
      <c r="CCG21" s="51"/>
      <c r="CCH21" s="51"/>
      <c r="CCI21" s="51"/>
      <c r="CCJ21" s="51"/>
      <c r="CCK21" s="51"/>
      <c r="CCL21" s="69">
        <f t="shared" si="649"/>
        <v>0</v>
      </c>
      <c r="CCM21" s="70">
        <f t="shared" si="650"/>
        <v>0</v>
      </c>
      <c r="CCN21" s="50"/>
      <c r="CCO21" s="51"/>
      <c r="CCP21" s="51"/>
      <c r="CCQ21" s="51"/>
      <c r="CCR21" s="51"/>
      <c r="CCS21" s="51"/>
      <c r="CCT21" s="69">
        <f t="shared" si="651"/>
        <v>0</v>
      </c>
      <c r="CCU21" s="70">
        <f t="shared" si="652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3"/>
        <v>331</v>
      </c>
      <c r="CDC21" s="70">
        <f t="shared" si="654"/>
        <v>55.166666666666664</v>
      </c>
      <c r="CDD21" s="50"/>
      <c r="CDE21" s="51"/>
      <c r="CDF21" s="51"/>
      <c r="CDG21" s="51"/>
      <c r="CDH21" s="51"/>
      <c r="CDI21" s="51"/>
      <c r="CDJ21" s="69">
        <f t="shared" si="655"/>
        <v>0</v>
      </c>
      <c r="CDK21" s="70">
        <f t="shared" si="656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7"/>
        <v>321</v>
      </c>
      <c r="CDS21" s="70">
        <f t="shared" si="658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9"/>
        <v>329</v>
      </c>
      <c r="CEA21" s="70">
        <f t="shared" si="660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61"/>
        <v>320</v>
      </c>
      <c r="CEI21" s="68">
        <f t="shared" si="662"/>
        <v>53.333333333333336</v>
      </c>
      <c r="CEJ21" s="50"/>
      <c r="CEK21" s="51"/>
      <c r="CEL21" s="51"/>
      <c r="CEM21" s="51"/>
      <c r="CEN21" s="51"/>
      <c r="CEO21" s="51"/>
      <c r="CEP21" s="69">
        <f t="shared" si="663"/>
        <v>0</v>
      </c>
      <c r="CEQ21" s="70">
        <f t="shared" si="664"/>
        <v>0</v>
      </c>
      <c r="CER21" s="50"/>
      <c r="CES21" s="51"/>
      <c r="CET21" s="51"/>
      <c r="CEU21" s="51"/>
      <c r="CEV21" s="51"/>
      <c r="CEW21" s="51"/>
      <c r="CEX21" s="69">
        <f t="shared" si="665"/>
        <v>0</v>
      </c>
      <c r="CEY21" s="70">
        <f t="shared" si="666"/>
        <v>0</v>
      </c>
      <c r="CEZ21" s="50"/>
      <c r="CFA21" s="51"/>
      <c r="CFB21" s="51"/>
      <c r="CFC21" s="51"/>
      <c r="CFD21" s="51"/>
      <c r="CFE21" s="51"/>
      <c r="CFF21" s="69">
        <f t="shared" si="667"/>
        <v>0</v>
      </c>
      <c r="CFG21" s="70">
        <f t="shared" si="668"/>
        <v>0</v>
      </c>
      <c r="CFH21" s="50"/>
      <c r="CFI21" s="51"/>
      <c r="CFJ21" s="51"/>
      <c r="CFK21" s="51"/>
      <c r="CFL21" s="51"/>
      <c r="CFM21" s="51"/>
      <c r="CFN21" s="69">
        <f t="shared" si="669"/>
        <v>0</v>
      </c>
      <c r="CFO21" s="70">
        <f t="shared" si="670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71"/>
        <v>337</v>
      </c>
      <c r="CFW21" s="70">
        <f t="shared" si="672"/>
        <v>56.166666666666664</v>
      </c>
      <c r="CFX21" s="50"/>
      <c r="CFY21" s="51"/>
      <c r="CFZ21" s="51"/>
      <c r="CGA21" s="51"/>
      <c r="CGB21" s="51"/>
      <c r="CGC21" s="51"/>
      <c r="CGD21" s="69">
        <f t="shared" si="673"/>
        <v>0</v>
      </c>
      <c r="CGE21" s="70">
        <f t="shared" si="674"/>
        <v>0</v>
      </c>
      <c r="CGF21" s="50"/>
      <c r="CGG21" s="51"/>
      <c r="CGH21" s="51"/>
      <c r="CGI21" s="51"/>
      <c r="CGJ21" s="51"/>
      <c r="CGK21" s="51"/>
      <c r="CGL21" s="69">
        <f t="shared" si="675"/>
        <v>0</v>
      </c>
      <c r="CGM21" s="70">
        <f t="shared" si="676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7"/>
        <v>312</v>
      </c>
      <c r="CGU21" s="70">
        <f t="shared" si="678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9"/>
        <v>326</v>
      </c>
      <c r="CHC21" s="70">
        <f t="shared" si="680"/>
        <v>54.333333333333336</v>
      </c>
      <c r="CHD21" s="50"/>
      <c r="CHE21" s="51"/>
      <c r="CHF21" s="51"/>
      <c r="CHG21" s="51"/>
      <c r="CHH21" s="51"/>
      <c r="CHI21" s="51"/>
      <c r="CHJ21" s="69">
        <f t="shared" si="681"/>
        <v>0</v>
      </c>
      <c r="CHK21" s="70">
        <f t="shared" si="682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3"/>
        <v>333</v>
      </c>
      <c r="CHS21" s="70">
        <f t="shared" si="684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5"/>
        <v>316</v>
      </c>
      <c r="CIA21" s="70">
        <f t="shared" si="686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7"/>
        <v>661</v>
      </c>
      <c r="CII21" s="70">
        <f t="shared" si="688"/>
        <v>110.16666666666667</v>
      </c>
      <c r="CIJ21" s="65"/>
      <c r="CIK21" s="66"/>
      <c r="CIL21" s="66"/>
      <c r="CIM21" s="66"/>
      <c r="CIN21" s="66"/>
      <c r="CIO21" s="66"/>
      <c r="CIP21" s="69">
        <f t="shared" si="689"/>
        <v>0</v>
      </c>
      <c r="CIQ21" s="70">
        <f t="shared" si="690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91"/>
        <v>347</v>
      </c>
      <c r="CIY21" s="70">
        <f t="shared" si="692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3"/>
        <v>321</v>
      </c>
      <c r="CJG21" s="70">
        <f t="shared" si="1206"/>
        <v>53.5</v>
      </c>
      <c r="CJH21" s="50"/>
      <c r="CJI21" s="51"/>
      <c r="CJJ21" s="51"/>
      <c r="CJK21" s="51"/>
      <c r="CJL21" s="51"/>
      <c r="CJM21" s="51"/>
      <c r="CJN21" s="69">
        <f t="shared" si="694"/>
        <v>0</v>
      </c>
      <c r="CJO21" s="70">
        <f t="shared" si="695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6"/>
        <v>329</v>
      </c>
      <c r="CJW21" s="70">
        <f t="shared" si="697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8"/>
        <v>332</v>
      </c>
      <c r="CKE21" s="70">
        <f t="shared" si="699"/>
        <v>55.333333333333336</v>
      </c>
      <c r="CKF21" s="65"/>
      <c r="CKG21" s="66"/>
      <c r="CKH21" s="66"/>
      <c r="CKI21" s="66"/>
      <c r="CKJ21" s="66"/>
      <c r="CKK21" s="66"/>
      <c r="CKL21" s="69">
        <f t="shared" si="700"/>
        <v>0</v>
      </c>
      <c r="CKM21" s="70">
        <f t="shared" si="701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2"/>
        <v>333</v>
      </c>
      <c r="CKU21" s="70">
        <f t="shared" si="703"/>
        <v>55.5</v>
      </c>
      <c r="CKV21" s="50"/>
      <c r="CKW21" s="51"/>
      <c r="CKX21" s="51"/>
      <c r="CKY21" s="51"/>
      <c r="CKZ21" s="51"/>
      <c r="CLA21" s="51"/>
      <c r="CLB21" s="69">
        <f t="shared" si="704"/>
        <v>0</v>
      </c>
      <c r="CLC21" s="70">
        <f t="shared" si="705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6"/>
        <v>331</v>
      </c>
      <c r="CLK21" s="70">
        <f t="shared" si="707"/>
        <v>55.166666666666664</v>
      </c>
      <c r="CLL21" s="50"/>
      <c r="CLM21" s="51"/>
      <c r="CLN21" s="51"/>
      <c r="CLO21" s="51"/>
      <c r="CLP21" s="51"/>
      <c r="CLQ21" s="51"/>
      <c r="CLR21" s="69">
        <f t="shared" si="708"/>
        <v>0</v>
      </c>
      <c r="CLS21" s="70">
        <f t="shared" si="709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10"/>
        <v>335</v>
      </c>
      <c r="CMA21" s="70">
        <f t="shared" si="711"/>
        <v>55.833333333333336</v>
      </c>
      <c r="CMB21" s="50"/>
      <c r="CMC21" s="51"/>
      <c r="CMD21" s="51"/>
      <c r="CME21" s="51"/>
      <c r="CMF21" s="51"/>
      <c r="CMG21" s="51"/>
      <c r="CMH21" s="69">
        <f t="shared" si="712"/>
        <v>0</v>
      </c>
      <c r="CMI21" s="70">
        <f t="shared" si="713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4"/>
        <v>326</v>
      </c>
      <c r="CMQ21" s="70">
        <f t="shared" si="715"/>
        <v>54.333333333333336</v>
      </c>
      <c r="CMR21" s="50"/>
      <c r="CMS21" s="51"/>
      <c r="CMT21" s="51"/>
      <c r="CMU21" s="51"/>
      <c r="CMV21" s="51"/>
      <c r="CMW21" s="51"/>
      <c r="CMX21" s="69">
        <f t="shared" si="716"/>
        <v>0</v>
      </c>
      <c r="CMY21" s="70">
        <f t="shared" si="717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8"/>
        <v>326</v>
      </c>
      <c r="CNG21" s="70">
        <f t="shared" si="719"/>
        <v>54.333333333333336</v>
      </c>
      <c r="CNH21" s="50"/>
      <c r="CNI21" s="51"/>
      <c r="CNJ21" s="51"/>
      <c r="CNK21" s="51"/>
      <c r="CNL21" s="51"/>
      <c r="CNM21" s="51"/>
      <c r="CNN21" s="69">
        <f t="shared" si="720"/>
        <v>0</v>
      </c>
      <c r="CNO21" s="70">
        <f t="shared" si="721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2"/>
        <v>322</v>
      </c>
      <c r="CNW21" s="70">
        <f t="shared" si="723"/>
        <v>53.666666666666664</v>
      </c>
      <c r="CNX21" s="50"/>
      <c r="CNY21" s="51"/>
      <c r="CNZ21" s="51"/>
      <c r="COA21" s="51"/>
      <c r="COB21" s="51"/>
      <c r="COC21" s="51"/>
      <c r="COD21" s="69">
        <f t="shared" si="724"/>
        <v>0</v>
      </c>
      <c r="COE21" s="70">
        <f t="shared" si="725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6"/>
        <v>310</v>
      </c>
      <c r="COM21" s="68">
        <f t="shared" si="727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8"/>
        <v>294</v>
      </c>
      <c r="COU21" s="70">
        <f t="shared" si="729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30"/>
        <v>0</v>
      </c>
      <c r="CPC21" s="70">
        <f t="shared" si="731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2"/>
        <v>291</v>
      </c>
      <c r="CPK21" s="70">
        <f t="shared" si="733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4"/>
        <v>0</v>
      </c>
      <c r="CPS21" s="70">
        <f t="shared" si="735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6"/>
        <v>661</v>
      </c>
      <c r="CQA21" s="70">
        <f t="shared" si="737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8"/>
        <v>0</v>
      </c>
      <c r="CQI21" s="70">
        <f t="shared" si="739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40"/>
        <v>326</v>
      </c>
      <c r="CQQ21" s="70">
        <f t="shared" si="741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2"/>
        <v>669</v>
      </c>
      <c r="CQY21" s="70">
        <f t="shared" si="743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20">SUM(CQZ21:CRE21)</f>
        <v>0</v>
      </c>
      <c r="CRG21" s="70">
        <f t="shared" si="745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6"/>
        <v>0</v>
      </c>
      <c r="CRO21" s="70">
        <f t="shared" si="747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8"/>
        <v>323</v>
      </c>
      <c r="CRW21" s="70">
        <f t="shared" si="749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50"/>
        <v>0</v>
      </c>
      <c r="CSE21" s="70">
        <f t="shared" si="751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2"/>
        <v>327</v>
      </c>
      <c r="CSM21" s="70">
        <f t="shared" si="753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4"/>
        <v>339</v>
      </c>
      <c r="CSU21" s="70">
        <f t="shared" si="755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6"/>
        <v>0</v>
      </c>
      <c r="CTC21" s="70">
        <f t="shared" si="757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8"/>
        <v>314</v>
      </c>
      <c r="CTK21" s="70">
        <f t="shared" si="759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60"/>
        <v>0</v>
      </c>
      <c r="CTS21" s="70">
        <f t="shared" si="761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2"/>
        <v>329</v>
      </c>
      <c r="CUA21" s="70">
        <f t="shared" si="763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4"/>
        <v>332</v>
      </c>
      <c r="CUI21" s="70">
        <f t="shared" si="765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6"/>
        <v>0</v>
      </c>
      <c r="CUQ21" s="70">
        <f t="shared" si="767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8"/>
        <v>0</v>
      </c>
      <c r="CUY21" s="70">
        <f t="shared" si="769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70"/>
        <v>311</v>
      </c>
      <c r="CVG21" s="70">
        <f t="shared" si="771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2"/>
        <v>325</v>
      </c>
      <c r="CVO21" s="70">
        <f t="shared" si="773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4"/>
        <v>0</v>
      </c>
      <c r="CVW21" s="70">
        <f t="shared" si="775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6"/>
        <v>0</v>
      </c>
      <c r="CWE21" s="70">
        <f t="shared" si="777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8"/>
        <v>0</v>
      </c>
      <c r="CWM21" s="70">
        <f t="shared" si="779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80"/>
        <v>326</v>
      </c>
      <c r="CWU21" s="70">
        <f t="shared" si="781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2"/>
        <v>0</v>
      </c>
      <c r="CXC21" s="53">
        <f t="shared" si="783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4"/>
        <v>314</v>
      </c>
      <c r="CXK21" s="53">
        <f t="shared" si="785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6"/>
        <v>0</v>
      </c>
      <c r="CXS21" s="53">
        <f t="shared" si="787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8"/>
        <v>323</v>
      </c>
      <c r="CYA21" s="53">
        <f t="shared" si="789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90"/>
        <v>324</v>
      </c>
      <c r="CYI21" s="53">
        <f t="shared" si="791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2"/>
        <v>0</v>
      </c>
      <c r="CYQ21" s="53">
        <f t="shared" si="793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4"/>
        <v>324</v>
      </c>
      <c r="CYY21" s="53">
        <f t="shared" si="795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6"/>
        <v>0</v>
      </c>
      <c r="CZG21" s="53">
        <f t="shared" si="797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8"/>
        <v>306</v>
      </c>
      <c r="CZO21" s="53">
        <f t="shared" si="799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800"/>
        <v>322</v>
      </c>
      <c r="CZW21" s="53">
        <f t="shared" si="801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2"/>
        <v>0</v>
      </c>
      <c r="DAE21" s="70">
        <f t="shared" si="803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4"/>
        <v>0</v>
      </c>
      <c r="DAM21" s="70">
        <f t="shared" si="805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6"/>
        <v>302</v>
      </c>
      <c r="DAU21" s="70">
        <f t="shared" si="807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8"/>
        <v>300</v>
      </c>
      <c r="DBC21" s="70">
        <f t="shared" si="809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10"/>
        <v>0</v>
      </c>
      <c r="DBK21" s="70">
        <f t="shared" si="811"/>
        <v>0</v>
      </c>
      <c r="DBL21" s="50"/>
      <c r="DBM21" s="51"/>
      <c r="DBN21" s="51"/>
      <c r="DBO21" s="51"/>
      <c r="DBP21" s="51"/>
      <c r="DBQ21" s="51"/>
      <c r="DBR21" s="66">
        <f t="shared" si="812"/>
        <v>0</v>
      </c>
      <c r="DBS21" s="70">
        <f t="shared" si="813"/>
        <v>0</v>
      </c>
      <c r="DBT21" s="50"/>
      <c r="DBU21" s="51"/>
      <c r="DBV21" s="51"/>
      <c r="DBW21" s="51"/>
      <c r="DBX21" s="51"/>
      <c r="DBY21" s="51"/>
      <c r="DBZ21" s="66">
        <f t="shared" si="814"/>
        <v>0</v>
      </c>
      <c r="DCA21" s="70">
        <f t="shared" si="815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6"/>
        <v>279</v>
      </c>
      <c r="DCI21" s="70">
        <f t="shared" si="817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8"/>
        <v>0</v>
      </c>
      <c r="DCQ21" s="70">
        <f t="shared" si="819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20"/>
        <v>0</v>
      </c>
      <c r="DCY21" s="70">
        <f t="shared" si="821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2"/>
        <v>317</v>
      </c>
      <c r="DDG21" s="70">
        <f t="shared" si="823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4"/>
        <v>0</v>
      </c>
      <c r="DDO21" s="53">
        <f t="shared" si="825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6"/>
        <v>0</v>
      </c>
      <c r="DDW21" s="53">
        <f t="shared" si="827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8"/>
        <v>0</v>
      </c>
      <c r="DEE21" s="53">
        <f t="shared" si="829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30"/>
        <v>320</v>
      </c>
      <c r="DEM21" s="53">
        <f t="shared" si="831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2"/>
        <v>0</v>
      </c>
      <c r="DEU21" s="53">
        <f t="shared" si="833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4"/>
        <v>0</v>
      </c>
      <c r="DFC21" s="53">
        <f t="shared" si="835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6"/>
        <v>0</v>
      </c>
      <c r="DFK21" s="53">
        <f t="shared" si="837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8"/>
        <v>329</v>
      </c>
      <c r="DFS21" s="70">
        <f t="shared" si="839"/>
        <v>54.833333333333336</v>
      </c>
      <c r="DFT21" s="50"/>
      <c r="DFU21" s="51"/>
      <c r="DFV21" s="51"/>
      <c r="DFW21" s="51"/>
      <c r="DFX21" s="51"/>
      <c r="DFY21" s="51"/>
      <c r="DFZ21" s="128">
        <f t="shared" si="840"/>
        <v>0</v>
      </c>
      <c r="DGA21" s="53">
        <f t="shared" si="841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2"/>
        <v>0</v>
      </c>
      <c r="DGI21" s="53">
        <f t="shared" si="843"/>
        <v>0</v>
      </c>
      <c r="DGJ21" s="50"/>
      <c r="DGK21" s="51"/>
      <c r="DGL21" s="51"/>
      <c r="DGM21" s="51"/>
      <c r="DGN21" s="51"/>
      <c r="DGO21" s="51"/>
      <c r="DGP21" s="66">
        <f t="shared" si="844"/>
        <v>0</v>
      </c>
      <c r="DGQ21" s="70">
        <f t="shared" si="845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6"/>
        <v>0</v>
      </c>
      <c r="DGY21" s="70">
        <f t="shared" si="847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8"/>
        <v>0</v>
      </c>
      <c r="DHG21" s="70">
        <f t="shared" si="849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50"/>
        <v>0</v>
      </c>
      <c r="DHO21" s="70">
        <f t="shared" si="851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2"/>
        <v>0</v>
      </c>
      <c r="DHW21" s="70">
        <f t="shared" si="853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4"/>
        <v>315</v>
      </c>
      <c r="DIE21" s="70">
        <f t="shared" si="855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6"/>
        <v>0</v>
      </c>
      <c r="DIM21" s="70">
        <f t="shared" si="857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8"/>
        <v>0</v>
      </c>
      <c r="DIU21" s="70">
        <f t="shared" si="859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60"/>
        <v>0</v>
      </c>
      <c r="DJC21" s="70">
        <f t="shared" si="861"/>
        <v>0</v>
      </c>
      <c r="DJD21" s="50"/>
      <c r="DJE21" s="51"/>
      <c r="DJF21" s="51"/>
      <c r="DJG21" s="51"/>
      <c r="DJH21" s="51"/>
      <c r="DJI21" s="51"/>
      <c r="DJJ21" s="66">
        <f t="shared" si="862"/>
        <v>0</v>
      </c>
      <c r="DJK21" s="70">
        <f t="shared" si="863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4"/>
        <v>0</v>
      </c>
      <c r="DJS21" s="70">
        <f t="shared" si="865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6"/>
        <v>1664</v>
      </c>
      <c r="DKA21" s="70">
        <f t="shared" si="867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8"/>
        <v>324</v>
      </c>
      <c r="DKI21" s="70">
        <f t="shared" si="869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70"/>
        <v>0</v>
      </c>
      <c r="DKQ21" s="70">
        <f t="shared" si="871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2"/>
        <v>3351</v>
      </c>
      <c r="DKY21" s="70">
        <f t="shared" si="873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4"/>
        <v>1619</v>
      </c>
      <c r="DLG21" s="70">
        <f t="shared" si="875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6"/>
        <v>0</v>
      </c>
      <c r="DLO21" s="70">
        <f t="shared" si="877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8"/>
        <v>0</v>
      </c>
      <c r="DLW21" s="70">
        <f t="shared" si="879"/>
        <v>0</v>
      </c>
      <c r="DLX21" s="50"/>
      <c r="DLY21" s="51"/>
      <c r="DLZ21" s="51"/>
      <c r="DMA21" s="51"/>
      <c r="DMB21" s="51"/>
      <c r="DMC21" s="51"/>
      <c r="DMD21" s="66">
        <f t="shared" si="880"/>
        <v>0</v>
      </c>
      <c r="DME21" s="70">
        <f t="shared" si="881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2"/>
        <v>0</v>
      </c>
      <c r="DMM21" s="70">
        <f t="shared" si="883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4"/>
        <v>0</v>
      </c>
      <c r="DMU21" s="70">
        <f t="shared" si="885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6"/>
        <v>0</v>
      </c>
      <c r="DNC21" s="70">
        <f t="shared" si="887"/>
        <v>0</v>
      </c>
      <c r="DND21" s="50"/>
      <c r="DNE21" s="51"/>
      <c r="DNF21" s="51"/>
      <c r="DNG21" s="51"/>
      <c r="DNH21" s="51"/>
      <c r="DNI21" s="51"/>
      <c r="DNJ21" s="66">
        <f t="shared" si="888"/>
        <v>0</v>
      </c>
      <c r="DNK21" s="70">
        <f t="shared" si="889"/>
        <v>0</v>
      </c>
      <c r="DNL21" s="50"/>
      <c r="DNM21" s="51"/>
      <c r="DNN21" s="51"/>
      <c r="DNO21" s="51"/>
      <c r="DNP21" s="51"/>
      <c r="DNQ21" s="51"/>
      <c r="DNR21" s="66">
        <f t="shared" si="890"/>
        <v>0</v>
      </c>
      <c r="DNS21" s="70">
        <f t="shared" si="891"/>
        <v>0</v>
      </c>
      <c r="DNT21" s="50"/>
      <c r="DNU21" s="51"/>
      <c r="DNV21" s="51"/>
      <c r="DNW21" s="51"/>
      <c r="DNX21" s="51"/>
      <c r="DNY21" s="51"/>
      <c r="DNZ21" s="66">
        <f t="shared" si="892"/>
        <v>0</v>
      </c>
      <c r="DOA21" s="70">
        <f t="shared" si="893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4"/>
        <v>0</v>
      </c>
      <c r="DOI21" s="70">
        <f t="shared" si="895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6"/>
        <v>0</v>
      </c>
      <c r="DOQ21" s="70">
        <f t="shared" si="897"/>
        <v>0</v>
      </c>
      <c r="DOR21" s="50"/>
      <c r="DOS21" s="51"/>
      <c r="DOT21" s="51"/>
      <c r="DOU21" s="51"/>
      <c r="DOV21" s="51"/>
      <c r="DOW21" s="51"/>
      <c r="DOX21" s="66">
        <f t="shared" si="898"/>
        <v>0</v>
      </c>
      <c r="DOY21" s="70">
        <f t="shared" si="899"/>
        <v>0</v>
      </c>
      <c r="DOZ21" s="50"/>
      <c r="DPA21" s="51"/>
      <c r="DPB21" s="51"/>
      <c r="DPC21" s="51"/>
      <c r="DPD21" s="51"/>
      <c r="DPE21" s="51"/>
      <c r="DPF21" s="66">
        <f t="shared" si="900"/>
        <v>0</v>
      </c>
      <c r="DPG21" s="70">
        <f t="shared" si="901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2"/>
        <v>0</v>
      </c>
      <c r="DPO21" s="70">
        <f t="shared" si="903"/>
        <v>0</v>
      </c>
      <c r="DPP21" s="50"/>
      <c r="DPQ21" s="51"/>
      <c r="DPR21" s="51"/>
      <c r="DPS21" s="51"/>
      <c r="DPT21" s="51"/>
      <c r="DPU21" s="51"/>
      <c r="DPV21" s="493">
        <f t="shared" si="904"/>
        <v>0</v>
      </c>
      <c r="DPW21" s="494">
        <f t="shared" si="905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6"/>
        <v>340</v>
      </c>
      <c r="DQE21" s="494">
        <f t="shared" si="907"/>
        <v>56.666666666666664</v>
      </c>
      <c r="DQF21" s="50"/>
      <c r="DQG21" s="51"/>
      <c r="DQH21" s="51"/>
      <c r="DQI21" s="51"/>
      <c r="DQJ21" s="51"/>
      <c r="DQK21" s="51"/>
      <c r="DQL21" s="499">
        <f t="shared" si="908"/>
        <v>0</v>
      </c>
      <c r="DQM21" s="494">
        <f t="shared" si="909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10"/>
        <v>0</v>
      </c>
      <c r="DQU21" s="70">
        <f t="shared" si="911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2"/>
        <v>0</v>
      </c>
      <c r="DRC21" s="494">
        <f t="shared" si="913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4"/>
        <v>0</v>
      </c>
      <c r="DRK21" s="494">
        <f t="shared" si="915"/>
        <v>0</v>
      </c>
      <c r="DRL21" s="50"/>
      <c r="DRM21" s="51"/>
      <c r="DRN21" s="51"/>
      <c r="DRO21" s="51"/>
      <c r="DRP21" s="51"/>
      <c r="DRQ21" s="51"/>
      <c r="DRR21" s="66">
        <f t="shared" si="916"/>
        <v>0</v>
      </c>
      <c r="DRS21" s="70">
        <f t="shared" si="917"/>
        <v>0</v>
      </c>
      <c r="DRT21" s="50"/>
      <c r="DRU21" s="51"/>
      <c r="DRV21" s="51"/>
      <c r="DRW21" s="51"/>
      <c r="DRX21" s="51"/>
      <c r="DRY21" s="51"/>
      <c r="DRZ21" s="493">
        <f t="shared" si="918"/>
        <v>0</v>
      </c>
      <c r="DSA21" s="70">
        <f t="shared" si="919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20"/>
        <v>0</v>
      </c>
      <c r="DSI21" s="70">
        <f t="shared" si="921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21">SUM(DSJ21:DSO21)</f>
        <v>0</v>
      </c>
      <c r="DSQ21" s="70">
        <f t="shared" si="923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4"/>
        <v>347</v>
      </c>
      <c r="DSY21" s="70">
        <f t="shared" si="925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6"/>
        <v>0</v>
      </c>
      <c r="DTG21" s="70">
        <f t="shared" si="927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8"/>
        <v>330</v>
      </c>
      <c r="DTO21" s="70">
        <f t="shared" si="929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30"/>
        <v>0</v>
      </c>
      <c r="DTW21" s="70">
        <f t="shared" si="931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2"/>
        <v>327</v>
      </c>
      <c r="DUE21" s="70">
        <f t="shared" si="933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40"/>
        <v>345</v>
      </c>
      <c r="DVK21" s="70">
        <f t="shared" si="941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2"/>
        <v>0</v>
      </c>
      <c r="DVS21" s="70">
        <f t="shared" si="943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4"/>
        <v>0</v>
      </c>
      <c r="DWA21" s="70">
        <f t="shared" si="945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6"/>
        <v>0</v>
      </c>
      <c r="DWI21" s="70">
        <f t="shared" si="947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8"/>
        <v>0</v>
      </c>
      <c r="DWQ21" s="70">
        <f t="shared" si="949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50"/>
        <v>0</v>
      </c>
      <c r="DWY21" s="70">
        <f t="shared" si="1207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51"/>
        <v>0</v>
      </c>
      <c r="DXG21" s="70">
        <f t="shared" si="952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3"/>
        <v>0</v>
      </c>
      <c r="DXO21" s="70">
        <f t="shared" si="954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5"/>
        <v>0</v>
      </c>
      <c r="DXW21" s="70">
        <f t="shared" si="956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7"/>
        <v>0</v>
      </c>
      <c r="DYE21" s="70">
        <f t="shared" si="958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9"/>
        <v>0</v>
      </c>
      <c r="DYM21" s="70">
        <f t="shared" si="960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61"/>
        <v>0</v>
      </c>
      <c r="DYU21" s="70">
        <f t="shared" si="962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3"/>
        <v>0</v>
      </c>
      <c r="DZC21" s="70">
        <f t="shared" si="964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5"/>
        <v>0</v>
      </c>
      <c r="DZK21" s="70">
        <f t="shared" si="966"/>
        <v>0</v>
      </c>
      <c r="DZL21" s="50"/>
      <c r="DZM21" s="51"/>
      <c r="DZN21" s="51"/>
      <c r="DZO21" s="51"/>
      <c r="DZP21" s="51"/>
      <c r="DZQ21" s="51"/>
      <c r="DZR21" s="66">
        <f t="shared" si="967"/>
        <v>0</v>
      </c>
      <c r="DZS21" s="70">
        <f t="shared" si="968"/>
        <v>0</v>
      </c>
      <c r="DZT21" s="50"/>
      <c r="DZU21" s="51"/>
      <c r="DZV21" s="51"/>
      <c r="DZW21" s="51"/>
      <c r="DZX21" s="51"/>
      <c r="DZY21" s="51"/>
      <c r="DZZ21" s="66">
        <f t="shared" si="969"/>
        <v>0</v>
      </c>
      <c r="EAA21" s="70">
        <f t="shared" si="970"/>
        <v>0</v>
      </c>
      <c r="EAB21" s="50"/>
      <c r="EAC21" s="51"/>
      <c r="EAD21" s="51"/>
      <c r="EAE21" s="51"/>
      <c r="EAF21" s="51"/>
      <c r="EAG21" s="51"/>
      <c r="EAH21" s="66">
        <f t="shared" si="971"/>
        <v>0</v>
      </c>
      <c r="EAI21" s="70">
        <f t="shared" si="972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3"/>
        <v>0</v>
      </c>
      <c r="EAQ21" s="70">
        <f t="shared" si="1208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4"/>
        <v>0</v>
      </c>
      <c r="EAY21" s="70">
        <f t="shared" si="975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6"/>
        <v>0</v>
      </c>
      <c r="EBG21" s="70">
        <f t="shared" si="977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8"/>
        <v>0</v>
      </c>
      <c r="EBO21" s="70">
        <f t="shared" si="1137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9"/>
        <v>0</v>
      </c>
      <c r="EBW21" s="70">
        <f t="shared" si="980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81"/>
        <v>0</v>
      </c>
      <c r="ECE21" s="70">
        <f t="shared" si="982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3"/>
        <v>0</v>
      </c>
      <c r="ECM21" s="70">
        <f t="shared" si="984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5"/>
        <v>0</v>
      </c>
      <c r="ECU21" s="70">
        <f t="shared" si="986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7"/>
        <v>0</v>
      </c>
      <c r="EDC21" s="70">
        <f t="shared" si="988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9"/>
        <v>0</v>
      </c>
      <c r="EDK21" s="70">
        <f t="shared" si="990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91"/>
        <v>0</v>
      </c>
      <c r="EDS21" s="210">
        <f t="shared" si="992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3"/>
        <v>0</v>
      </c>
      <c r="EEA21" s="199">
        <f t="shared" si="994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5"/>
        <v>0</v>
      </c>
      <c r="EEI21" s="70">
        <f t="shared" si="996"/>
        <v>0</v>
      </c>
      <c r="EEJ21" s="50"/>
      <c r="EEK21" s="51"/>
      <c r="EEL21" s="51"/>
      <c r="EEM21" s="51"/>
      <c r="EEN21" s="51"/>
      <c r="EEO21" s="51"/>
      <c r="EEP21" s="66">
        <f t="shared" si="997"/>
        <v>0</v>
      </c>
      <c r="EEQ21" s="70">
        <f t="shared" si="998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9"/>
        <v>367</v>
      </c>
      <c r="EEY21" s="70">
        <f t="shared" si="1000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1001"/>
        <v>708</v>
      </c>
      <c r="EFG21" s="70">
        <f t="shared" si="1002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3"/>
        <v>319</v>
      </c>
      <c r="EFO21" s="70">
        <f t="shared" si="1004"/>
        <v>53.166666666666664</v>
      </c>
      <c r="EFP21" s="50"/>
      <c r="EFQ21" s="51"/>
      <c r="EFR21" s="51"/>
      <c r="EFS21" s="51"/>
      <c r="EFT21" s="51"/>
      <c r="EFU21" s="51"/>
      <c r="EFV21" s="66">
        <f t="shared" si="1005"/>
        <v>0</v>
      </c>
      <c r="EFW21" s="70">
        <f t="shared" si="1006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7"/>
        <v>0</v>
      </c>
      <c r="EGE21" s="70">
        <f t="shared" si="1008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9"/>
        <v>343</v>
      </c>
      <c r="EGM21" s="70">
        <f t="shared" si="1010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11"/>
        <v>0</v>
      </c>
      <c r="EGU21" s="70">
        <f t="shared" si="1209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2"/>
        <v>335</v>
      </c>
      <c r="EHC21" s="70">
        <f t="shared" si="1013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4"/>
        <v>345</v>
      </c>
      <c r="EHK21" s="70">
        <f t="shared" si="1015"/>
        <v>57.5</v>
      </c>
      <c r="EHL21" s="50"/>
      <c r="EHM21" s="51"/>
      <c r="EHN21" s="51"/>
      <c r="EHO21" s="51"/>
      <c r="EHP21" s="51"/>
      <c r="EHQ21" s="51"/>
      <c r="EHR21" s="66">
        <f t="shared" si="1016"/>
        <v>0</v>
      </c>
      <c r="EHS21" s="70">
        <f t="shared" si="1017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8"/>
        <v>0</v>
      </c>
      <c r="EIA21" s="70">
        <f t="shared" si="1019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20"/>
        <v>0</v>
      </c>
      <c r="EII21" s="70">
        <f t="shared" si="1021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2"/>
        <v>346</v>
      </c>
      <c r="EIQ21" s="70">
        <f t="shared" si="1023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4"/>
        <v>0</v>
      </c>
      <c r="EIY21" s="70">
        <f t="shared" si="1025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6"/>
        <v>348</v>
      </c>
      <c r="EJG21" s="70">
        <f t="shared" si="1027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8"/>
        <v>0</v>
      </c>
      <c r="EJO21" s="70">
        <f t="shared" si="1029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30"/>
        <v>344</v>
      </c>
      <c r="EJW21" s="70">
        <f t="shared" si="1031"/>
        <v>57.333333333333336</v>
      </c>
      <c r="EJX21" s="50"/>
      <c r="EJY21" s="51"/>
      <c r="EJZ21" s="51"/>
      <c r="EKA21" s="51"/>
      <c r="EKB21" s="51"/>
      <c r="EKC21" s="51"/>
      <c r="EKD21" s="66">
        <f t="shared" si="1032"/>
        <v>0</v>
      </c>
      <c r="EKE21" s="70">
        <f t="shared" si="1033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4"/>
        <v>334</v>
      </c>
      <c r="EKM21" s="70">
        <f t="shared" si="1035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6"/>
        <v>334</v>
      </c>
      <c r="EKU21" s="210">
        <f t="shared" si="1037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8"/>
        <v>329</v>
      </c>
      <c r="ELD21" s="212">
        <f t="shared" si="1039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40"/>
        <v>0</v>
      </c>
      <c r="ELL21" s="212">
        <f t="shared" si="1041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2"/>
        <v>350</v>
      </c>
      <c r="ELT21" s="212">
        <f t="shared" si="1043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4"/>
        <v>340</v>
      </c>
      <c r="EMB21" s="212">
        <f t="shared" si="1045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6"/>
        <v>328</v>
      </c>
      <c r="EMJ21" s="212">
        <f t="shared" si="1047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8"/>
        <v>1272</v>
      </c>
      <c r="EMR21" s="212">
        <f t="shared" si="1049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50"/>
        <v>0</v>
      </c>
      <c r="EMZ21" s="212">
        <f t="shared" si="1051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2"/>
        <v>348</v>
      </c>
      <c r="ENH21" s="212">
        <f t="shared" si="1053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4"/>
        <v>0</v>
      </c>
      <c r="ENP21" s="212">
        <f t="shared" si="1055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6"/>
        <v>695</v>
      </c>
      <c r="ENX21" s="212">
        <f t="shared" si="1057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8"/>
        <v>0</v>
      </c>
      <c r="EOF21" s="212">
        <f t="shared" si="1059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60"/>
        <v>0</v>
      </c>
      <c r="EON21" s="212">
        <f t="shared" si="1061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2"/>
        <v>310</v>
      </c>
      <c r="EOV21" s="212">
        <f t="shared" si="1063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4"/>
        <v>354</v>
      </c>
      <c r="EPD21" s="212">
        <f t="shared" si="1065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6"/>
        <v>314</v>
      </c>
      <c r="EPL21" s="212">
        <f t="shared" si="1067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8"/>
        <v>682</v>
      </c>
      <c r="EPT21" s="212">
        <f t="shared" si="1069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70"/>
        <v>0</v>
      </c>
      <c r="EQB21" s="212">
        <f t="shared" si="1071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2"/>
        <v>324</v>
      </c>
      <c r="EQJ21" s="212">
        <f t="shared" si="1073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4"/>
        <v>341</v>
      </c>
      <c r="EQR21" s="212">
        <f t="shared" si="1075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6"/>
        <v>351</v>
      </c>
      <c r="EQZ21" s="212">
        <f t="shared" si="1077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8"/>
        <v>0</v>
      </c>
      <c r="ERH21" s="212">
        <f t="shared" si="1079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80"/>
        <v>0</v>
      </c>
      <c r="ERP21" s="212">
        <f t="shared" si="1081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2"/>
        <v>174</v>
      </c>
      <c r="ERX21" s="212">
        <f t="shared" si="1083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4"/>
        <v>349</v>
      </c>
      <c r="ESF21" s="212">
        <f t="shared" si="1085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6"/>
        <v>0</v>
      </c>
      <c r="ESN21" s="212">
        <f t="shared" si="1087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8"/>
        <v>0</v>
      </c>
      <c r="ESV21" s="212">
        <f t="shared" si="1089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90"/>
        <v>0</v>
      </c>
      <c r="ETD21" s="212">
        <f t="shared" si="1091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2"/>
        <v>677</v>
      </c>
      <c r="ETL21" s="212">
        <f t="shared" si="1093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4"/>
        <v>0</v>
      </c>
      <c r="ETT21" s="212">
        <f t="shared" si="1095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6"/>
        <v>0</v>
      </c>
      <c r="EUB21" s="212">
        <f t="shared" si="1097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8"/>
        <v>0</v>
      </c>
      <c r="EUJ21" s="212">
        <f t="shared" si="1099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100"/>
        <v>0</v>
      </c>
      <c r="EUR21" s="212">
        <f t="shared" si="1101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2"/>
        <v>0</v>
      </c>
      <c r="EUZ21" s="212">
        <f t="shared" si="1103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4"/>
        <v>0</v>
      </c>
      <c r="EVH21" s="212">
        <f t="shared" si="1105"/>
        <v>0</v>
      </c>
      <c r="EVI21" s="196"/>
      <c r="EVJ21" s="197"/>
      <c r="EVK21" s="197"/>
      <c r="EVL21" s="197"/>
      <c r="EVM21" s="197"/>
      <c r="EVN21" s="197"/>
      <c r="EVO21" s="810">
        <f t="shared" si="1106"/>
        <v>0</v>
      </c>
      <c r="EVP21" s="212">
        <f t="shared" si="1107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8"/>
        <v>344</v>
      </c>
      <c r="EVX21" s="212">
        <f t="shared" si="1109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10"/>
        <v>0</v>
      </c>
      <c r="EWF21" s="212">
        <f t="shared" si="1111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2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3"/>
        <v>0</v>
      </c>
      <c r="EWV21" s="212">
        <f t="shared" si="1114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5"/>
        <v>338</v>
      </c>
      <c r="EXD21" s="212">
        <f t="shared" si="1116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7"/>
        <v>0</v>
      </c>
      <c r="EXL21" s="212">
        <f t="shared" si="1118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9"/>
        <v>0</v>
      </c>
      <c r="EXT21" s="212">
        <f t="shared" si="1120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21"/>
        <v>0</v>
      </c>
      <c r="EYB21" s="212">
        <f t="shared" si="1122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3"/>
        <v>252</v>
      </c>
      <c r="EYJ21" s="212">
        <f t="shared" si="1124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5"/>
        <v>0</v>
      </c>
      <c r="EYR21" s="212">
        <f t="shared" si="1126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7"/>
        <v>317</v>
      </c>
      <c r="EYZ21" s="879">
        <f t="shared" si="1128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9"/>
        <v>0</v>
      </c>
      <c r="EZH21" s="879">
        <f t="shared" si="1130"/>
        <v>0</v>
      </c>
      <c r="EZI21" s="196"/>
      <c r="EZJ21" s="197"/>
      <c r="EZK21" s="197"/>
      <c r="EZL21" s="197"/>
      <c r="EZM21" s="197"/>
      <c r="EZN21" s="197"/>
      <c r="EZO21" s="878">
        <f t="shared" si="1131"/>
        <v>0</v>
      </c>
      <c r="EZP21" s="879">
        <f t="shared" si="1132"/>
        <v>0</v>
      </c>
      <c r="EZQ21" s="459"/>
      <c r="EZR21" s="460"/>
      <c r="EZS21" s="460"/>
      <c r="EZT21" s="460"/>
      <c r="EZU21" s="460"/>
      <c r="EZV21" s="460"/>
      <c r="EZW21" s="878">
        <f t="shared" si="1133"/>
        <v>0</v>
      </c>
      <c r="EZX21" s="879">
        <f t="shared" si="1134"/>
        <v>0</v>
      </c>
      <c r="EZY21" s="196"/>
      <c r="EZZ21" s="197">
        <v>240</v>
      </c>
      <c r="FAA21" s="197"/>
      <c r="FAB21" s="197"/>
      <c r="FAC21" s="197"/>
      <c r="FAD21" s="197"/>
      <c r="FAE21" s="878">
        <f t="shared" si="1135"/>
        <v>240</v>
      </c>
      <c r="FAF21" s="879">
        <f t="shared" si="1136"/>
        <v>40</v>
      </c>
    </row>
    <row r="22" spans="1:4088" s="148" customFormat="1" x14ac:dyDescent="0.2">
      <c r="A22" s="999" t="s">
        <v>14</v>
      </c>
      <c r="B22" s="1000"/>
      <c r="C22" s="1000"/>
      <c r="D22" s="227">
        <v>25</v>
      </c>
      <c r="E22" s="224">
        <f t="shared" ref="E22:N22" si="1222">SUM(E7:E21)</f>
        <v>0</v>
      </c>
      <c r="F22" s="224">
        <f t="shared" si="1222"/>
        <v>18725</v>
      </c>
      <c r="G22" s="224">
        <f t="shared" si="1222"/>
        <v>0</v>
      </c>
      <c r="H22" s="224">
        <f t="shared" si="1222"/>
        <v>1736</v>
      </c>
      <c r="I22" s="224">
        <f t="shared" si="1222"/>
        <v>0</v>
      </c>
      <c r="J22" s="224">
        <f t="shared" si="1222"/>
        <v>885</v>
      </c>
      <c r="K22" s="224">
        <f t="shared" si="1222"/>
        <v>0</v>
      </c>
      <c r="L22" s="224">
        <f t="shared" si="1222"/>
        <v>19576</v>
      </c>
      <c r="M22" s="224">
        <f t="shared" si="1222"/>
        <v>19576</v>
      </c>
      <c r="N22" s="224">
        <f t="shared" si="1222"/>
        <v>443.66666666666669</v>
      </c>
      <c r="O22" s="232">
        <f t="shared" ref="O22" si="1223">IF(N22=0,0,M22/N22)</f>
        <v>44.123215627347854</v>
      </c>
      <c r="P22" s="230">
        <f>SUM(P7:P21)</f>
        <v>2453.1666666666665</v>
      </c>
      <c r="Q22" s="232">
        <f>IF(P22=0,0,M22/P22*6)</f>
        <v>47.879339629050889</v>
      </c>
      <c r="R22" s="230">
        <f>SUM(R7:R21)</f>
        <v>1116.9230769230769</v>
      </c>
      <c r="S22" s="223"/>
      <c r="T22" s="232">
        <f t="shared" ref="T22" si="1224">IF(R22=0,0,M22/R22)</f>
        <v>17.526721763085401</v>
      </c>
      <c r="U22" s="224">
        <f>SUM(U7:U21)</f>
        <v>0</v>
      </c>
      <c r="V22" s="232">
        <f t="shared" ref="V22" si="1225">IF(R22=0,0,(M22+U22)/R22)</f>
        <v>17.526721763085401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  <c r="EZQ22" s="152"/>
      <c r="EZR22" s="152"/>
      <c r="EZS22" s="152"/>
      <c r="EZT22" s="152"/>
      <c r="EZU22" s="152"/>
      <c r="EZV22" s="152"/>
      <c r="EZY22" s="149"/>
      <c r="EZZ22" s="149"/>
      <c r="FAA22" s="149"/>
      <c r="FAB22" s="149"/>
      <c r="FAC22" s="149"/>
      <c r="FAD22" s="149"/>
    </row>
    <row r="23" spans="1:4088" x14ac:dyDescent="0.2">
      <c r="A23" s="12" t="s">
        <v>25</v>
      </c>
      <c r="B23" s="12"/>
      <c r="C23" s="25"/>
      <c r="X23" s="2"/>
    </row>
    <row r="24" spans="1:4088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88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88" x14ac:dyDescent="0.2">
      <c r="C26" s="12"/>
      <c r="X26" s="13"/>
      <c r="AA26" s="13"/>
      <c r="AB26" s="10"/>
      <c r="AC26" s="654"/>
    </row>
    <row r="27" spans="1:4088" s="5" customFormat="1" ht="25.5" customHeight="1" x14ac:dyDescent="0.2">
      <c r="A27" s="996" t="s">
        <v>273</v>
      </c>
      <c r="B27" s="997"/>
      <c r="C27" s="997"/>
      <c r="D27" s="997"/>
      <c r="E27" s="997"/>
      <c r="F27" s="997"/>
      <c r="G27" s="997"/>
      <c r="H27" s="997"/>
      <c r="I27" s="997"/>
      <c r="J27" s="997"/>
      <c r="K27" s="997"/>
      <c r="L27" s="997"/>
      <c r="M27" s="998"/>
      <c r="N27" s="928" t="s">
        <v>252</v>
      </c>
      <c r="O27" s="929"/>
      <c r="P27" s="949" t="s">
        <v>255</v>
      </c>
      <c r="Q27" s="950"/>
      <c r="R27" s="950"/>
      <c r="S27" s="950"/>
      <c r="T27" s="950"/>
      <c r="U27" s="980" t="s">
        <v>260</v>
      </c>
      <c r="V27" s="983" t="s">
        <v>259</v>
      </c>
      <c r="W27" s="986" t="s">
        <v>265</v>
      </c>
      <c r="X27" s="989" t="s">
        <v>262</v>
      </c>
      <c r="Y27" s="991" t="s">
        <v>1</v>
      </c>
      <c r="Z27" s="992"/>
      <c r="AA27" s="992"/>
      <c r="AB27" s="993"/>
      <c r="AC27" s="978" t="s">
        <v>327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  <c r="EZQ27" s="78"/>
      <c r="EZR27" s="78"/>
      <c r="EZS27" s="78"/>
      <c r="EZT27" s="78"/>
      <c r="EZU27" s="78"/>
      <c r="EZV27" s="78"/>
    </row>
    <row r="28" spans="1:4088" s="6" customFormat="1" ht="25.5" customHeight="1" thickBot="1" x14ac:dyDescent="0.25">
      <c r="A28" s="989" t="s">
        <v>248</v>
      </c>
      <c r="B28" s="983" t="s">
        <v>249</v>
      </c>
      <c r="C28" s="1001" t="s">
        <v>250</v>
      </c>
      <c r="D28" s="989" t="s">
        <v>251</v>
      </c>
      <c r="E28" s="919" t="s">
        <v>232</v>
      </c>
      <c r="F28" s="920"/>
      <c r="G28" s="919" t="s">
        <v>233</v>
      </c>
      <c r="H28" s="920"/>
      <c r="I28" s="919" t="s">
        <v>234</v>
      </c>
      <c r="J28" s="920"/>
      <c r="K28" s="1004" t="s">
        <v>235</v>
      </c>
      <c r="L28" s="1005"/>
      <c r="M28" s="1006"/>
      <c r="N28" s="933" t="s">
        <v>254</v>
      </c>
      <c r="O28" s="933" t="s">
        <v>253</v>
      </c>
      <c r="P28" s="954" t="s">
        <v>256</v>
      </c>
      <c r="Q28" s="954" t="s">
        <v>253</v>
      </c>
      <c r="R28" s="951" t="s">
        <v>257</v>
      </c>
      <c r="S28" s="316"/>
      <c r="T28" s="953" t="s">
        <v>258</v>
      </c>
      <c r="U28" s="981"/>
      <c r="V28" s="984"/>
      <c r="W28" s="987"/>
      <c r="X28" s="990"/>
      <c r="Y28" s="994" t="s">
        <v>10</v>
      </c>
      <c r="Z28" s="994" t="s">
        <v>11</v>
      </c>
      <c r="AA28" s="994" t="s">
        <v>12</v>
      </c>
      <c r="AB28" s="994" t="s">
        <v>18</v>
      </c>
      <c r="AC28" s="978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  <c r="EZQ28" s="79"/>
      <c r="EZR28" s="79"/>
      <c r="EZS28" s="79"/>
      <c r="EZT28" s="79"/>
      <c r="EZU28" s="79"/>
      <c r="EZV28" s="79"/>
    </row>
    <row r="29" spans="1:4088" s="6" customFormat="1" ht="51.75" customHeight="1" thickBot="1" x14ac:dyDescent="0.25">
      <c r="A29" s="990"/>
      <c r="B29" s="1003"/>
      <c r="C29" s="1002"/>
      <c r="D29" s="990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35"/>
      <c r="O29" s="935"/>
      <c r="P29" s="955"/>
      <c r="Q29" s="955"/>
      <c r="R29" s="952"/>
      <c r="S29" s="316"/>
      <c r="T29" s="953"/>
      <c r="U29" s="982"/>
      <c r="V29" s="985"/>
      <c r="W29" s="988"/>
      <c r="X29" s="990"/>
      <c r="Y29" s="1007"/>
      <c r="Z29" s="995"/>
      <c r="AA29" s="995"/>
      <c r="AB29" s="995"/>
      <c r="AC29" s="978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  <c r="EZQ29" s="700">
        <v>6</v>
      </c>
      <c r="EZR29" s="701">
        <v>7</v>
      </c>
      <c r="EZS29" s="701">
        <v>8</v>
      </c>
      <c r="EZT29" s="701">
        <v>9</v>
      </c>
      <c r="EZU29" s="701">
        <v>10</v>
      </c>
      <c r="EZV29" s="701">
        <v>11</v>
      </c>
      <c r="EZW29" s="874" t="s">
        <v>263</v>
      </c>
      <c r="EZX29" s="875" t="s">
        <v>264</v>
      </c>
      <c r="EZY29" s="680">
        <v>12</v>
      </c>
      <c r="EZZ29" s="681">
        <v>13</v>
      </c>
      <c r="FAA29" s="681">
        <v>14</v>
      </c>
      <c r="FAB29" s="681">
        <v>15</v>
      </c>
      <c r="FAC29" s="681">
        <v>16</v>
      </c>
      <c r="FAD29" s="681">
        <v>17</v>
      </c>
      <c r="FAE29" s="874" t="s">
        <v>263</v>
      </c>
      <c r="FAF29" s="875" t="s">
        <v>264</v>
      </c>
    </row>
    <row r="30" spans="1:4088" s="567" customFormat="1" ht="13.5" thickBot="1" x14ac:dyDescent="0.25">
      <c r="A30" s="21">
        <v>1</v>
      </c>
      <c r="B30" s="297" t="s">
        <v>225</v>
      </c>
      <c r="C30" s="725" t="s">
        <v>315</v>
      </c>
      <c r="D30" s="391">
        <v>25</v>
      </c>
      <c r="E30" s="726"/>
      <c r="F30" s="435">
        <v>2677</v>
      </c>
      <c r="G30" s="726"/>
      <c r="H30" s="435"/>
      <c r="I30" s="726"/>
      <c r="J30" s="360">
        <f>SUMIF(SUMPK!$B:$B,$B:$B,SUMPK!$O:$O)</f>
        <v>0</v>
      </c>
      <c r="K30" s="24">
        <f t="shared" ref="K30:K56" si="1226">E30+G30-I30</f>
        <v>0</v>
      </c>
      <c r="L30" s="24">
        <f t="shared" ref="L30:L31" si="1227">F30+H30-J30</f>
        <v>2677</v>
      </c>
      <c r="M30" s="15">
        <f t="shared" ref="M30:M31" si="1228">K30+L30</f>
        <v>2677</v>
      </c>
      <c r="N30" s="443">
        <v>0</v>
      </c>
      <c r="O30" s="276">
        <f t="shared" ref="O30:O54" si="1229">IF(N30=0,0,M30/N30)</f>
        <v>0</v>
      </c>
      <c r="P30" s="727">
        <v>0</v>
      </c>
      <c r="Q30" s="15">
        <f t="shared" ref="Q30:Q31" si="1230">IF(P30=0,0,M30/P30*6)</f>
        <v>0</v>
      </c>
      <c r="R30" s="15">
        <f t="shared" ref="R30:R31" si="1231">S30/$S$3</f>
        <v>98.461538461538467</v>
      </c>
      <c r="S30" s="222">
        <v>2560</v>
      </c>
      <c r="T30" s="15">
        <f t="shared" ref="T30:T31" si="1232">IF(R30=0,0,M30/R30)</f>
        <v>27.188281249999999</v>
      </c>
      <c r="U30" s="728"/>
      <c r="V30" s="276">
        <f t="shared" ref="V30:V56" si="1233">IF(R30=0,0,(M30+U30)/R30)</f>
        <v>27.188281249999999</v>
      </c>
      <c r="W30" s="279">
        <f t="shared" ref="W30:W47" si="1234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35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6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7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8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9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40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41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42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43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44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45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6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7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8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9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50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51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52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53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54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55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6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7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8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9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60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61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62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63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64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65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6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7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8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9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70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71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72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73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74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75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6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7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8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9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80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81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82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83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84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85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6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7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8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9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90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91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92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93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94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95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6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7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8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9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300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301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302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303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304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305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6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7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8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9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10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11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12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13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14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15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6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7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8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9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20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21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22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23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24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>
        <v>347</v>
      </c>
      <c r="EZO30" s="876">
        <f t="shared" ref="EZO30" si="1325">SUM(EZI30:EZN30)</f>
        <v>347</v>
      </c>
      <c r="EZP30" s="877">
        <f>EZO30/$EZP$5</f>
        <v>57.833333333333336</v>
      </c>
      <c r="EZQ30" s="702">
        <v>0</v>
      </c>
      <c r="EZR30" s="703"/>
      <c r="EZS30" s="703">
        <v>0</v>
      </c>
      <c r="EZT30" s="703">
        <v>0</v>
      </c>
      <c r="EZU30" s="703">
        <v>0</v>
      </c>
      <c r="EZV30" s="703">
        <v>0</v>
      </c>
      <c r="EZW30" s="876">
        <f t="shared" ref="EZW30" si="1326">SUM(EZQ30:EZV30)</f>
        <v>0</v>
      </c>
      <c r="EZX30" s="877">
        <f>EZW30/$EZX$5</f>
        <v>0</v>
      </c>
      <c r="EZY30" s="683">
        <v>338</v>
      </c>
      <c r="EZZ30" s="684">
        <v>0</v>
      </c>
      <c r="FAA30" s="684"/>
      <c r="FAB30" s="684"/>
      <c r="FAC30" s="684"/>
      <c r="FAD30" s="684"/>
      <c r="FAE30" s="876">
        <f t="shared" ref="FAE30" si="1327">SUM(EZY30:FAD30)</f>
        <v>338</v>
      </c>
      <c r="FAF30" s="877">
        <f>FAE30/$FAF$5</f>
        <v>56.333333333333336</v>
      </c>
    </row>
    <row r="31" spans="1:4088" s="567" customFormat="1" ht="13.5" thickBot="1" x14ac:dyDescent="0.25">
      <c r="A31" s="21">
        <v>2</v>
      </c>
      <c r="B31" s="297" t="s">
        <v>226</v>
      </c>
      <c r="C31" s="725" t="s">
        <v>314</v>
      </c>
      <c r="D31" s="391">
        <v>25</v>
      </c>
      <c r="E31" s="726"/>
      <c r="F31" s="435">
        <v>3178</v>
      </c>
      <c r="G31" s="726"/>
      <c r="H31" s="435"/>
      <c r="I31" s="726"/>
      <c r="J31" s="360">
        <f>SUMIF(SUMPK!$B:$B,$B:$B,SUMPK!$O:$O)</f>
        <v>0</v>
      </c>
      <c r="K31" s="24">
        <f t="shared" si="1226"/>
        <v>0</v>
      </c>
      <c r="L31" s="24">
        <f t="shared" si="1227"/>
        <v>3178</v>
      </c>
      <c r="M31" s="15">
        <f t="shared" si="1228"/>
        <v>3178</v>
      </c>
      <c r="N31" s="443">
        <v>0</v>
      </c>
      <c r="O31" s="276">
        <f t="shared" si="1229"/>
        <v>0</v>
      </c>
      <c r="P31" s="727">
        <v>0</v>
      </c>
      <c r="Q31" s="15">
        <f t="shared" si="1230"/>
        <v>0</v>
      </c>
      <c r="R31" s="15">
        <f t="shared" si="1231"/>
        <v>147.69230769230768</v>
      </c>
      <c r="S31" s="222">
        <v>3840</v>
      </c>
      <c r="T31" s="15">
        <f t="shared" si="1232"/>
        <v>21.517708333333335</v>
      </c>
      <c r="U31" s="729"/>
      <c r="V31" s="276">
        <f t="shared" si="1233"/>
        <v>21.517708333333335</v>
      </c>
      <c r="W31" s="279">
        <f t="shared" si="1234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61" si="1328">SUM(DXP31:DXU31)</f>
        <v>0</v>
      </c>
      <c r="DXW31" s="68">
        <f t="shared" ref="DXW31:DXW61" si="1329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61" si="1330">SUM(DXX31:DYC31)</f>
        <v>1307</v>
      </c>
      <c r="DYE31" s="68">
        <f t="shared" ref="DYE31:DYE61" si="1331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61" si="1332">SUM(DYF31:DYK31)</f>
        <v>952</v>
      </c>
      <c r="DYM31" s="68">
        <f t="shared" ref="DYM31:DYM61" si="1333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61" si="1334">SUM(DYN31:DYS31)</f>
        <v>687</v>
      </c>
      <c r="DYU31" s="68">
        <f t="shared" ref="DYU31:DYU61" si="1335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61" si="1336">SUM(DYV31:DZA31)</f>
        <v>2554</v>
      </c>
      <c r="DZC31" s="68">
        <f t="shared" ref="DZC31:DZC61" si="1337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61" si="1338">SUM(DZD31:DZI31)</f>
        <v>1024</v>
      </c>
      <c r="DZK31" s="68">
        <f t="shared" ref="DZK31:DZK61" si="1339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61" si="1340">SUM(DZL31:DZQ31)</f>
        <v>1021</v>
      </c>
      <c r="DZS31" s="68">
        <f t="shared" ref="DZS31:DZS61" si="1341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61" si="1342">SUM(DZT31:DZY31)</f>
        <v>1008</v>
      </c>
      <c r="EAA31" s="68">
        <f t="shared" ref="EAA31:EAA61" si="1343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61" si="1344">SUM(EAB31:EAG31)</f>
        <v>1009</v>
      </c>
      <c r="EAI31" s="68">
        <f t="shared" ref="EAI31:EAI61" si="1345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61" si="1346">SUM(EAJ31:EAO31)</f>
        <v>1011</v>
      </c>
      <c r="EAQ31" s="68">
        <f t="shared" ref="EAQ31:EAQ61" si="1347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61" si="1348">SUM(EAR31:EAW31)</f>
        <v>1022</v>
      </c>
      <c r="EAY31" s="68">
        <f t="shared" ref="EAY31:EAY61" si="1349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61" si="1350">SUM(EAZ31:EBE31)</f>
        <v>1025</v>
      </c>
      <c r="EBG31" s="68">
        <f t="shared" ref="EBG31:EBG61" si="1351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61" si="1352">SUM(EBH31:EBM31)</f>
        <v>954</v>
      </c>
      <c r="EBO31" s="68">
        <f t="shared" ref="EBO31:EBO61" si="1353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61" si="1354">SUM(EBP31:EBU31)</f>
        <v>0</v>
      </c>
      <c r="EBW31" s="68">
        <f t="shared" ref="EBW31:EBW61" si="1355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61" si="1356">SUM(EBX31:ECC31)</f>
        <v>1012</v>
      </c>
      <c r="ECE31" s="68">
        <f t="shared" ref="ECE31:ECE61" si="1357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61" si="1358">SUM(ECF31:ECK31)</f>
        <v>0</v>
      </c>
      <c r="ECM31" s="68">
        <f t="shared" ref="ECM31:ECM61" si="1359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61" si="1360">SUM(ECN31:ECS31)</f>
        <v>996</v>
      </c>
      <c r="ECU31" s="68">
        <f t="shared" ref="ECU31:ECU61" si="1361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61" si="1362">SUM(ECV31:EDA31)</f>
        <v>967</v>
      </c>
      <c r="EDC31" s="68">
        <f t="shared" ref="EDC31:EDC61" si="1363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61" si="1364">SUM(EDD31:EDI31)</f>
        <v>673</v>
      </c>
      <c r="EDK31" s="68">
        <f t="shared" ref="EDK31:EDK61" si="1365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61" si="1366">SUM(EDL31:EDQ31)</f>
        <v>980</v>
      </c>
      <c r="EDS31" s="68">
        <f t="shared" ref="EDS31:EDS61" si="1367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61" si="1368">SUM(EDT31:EDY31)</f>
        <v>0</v>
      </c>
      <c r="EEA31" s="68">
        <f t="shared" ref="EEA31:EEA61" si="1369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61" si="1370">SUM(EEB31:EEG31)</f>
        <v>685</v>
      </c>
      <c r="EEI31" s="68">
        <f t="shared" ref="EEI31:EEI61" si="1371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61" si="1372">SUM(EEJ31:EEO31)</f>
        <v>1022</v>
      </c>
      <c r="EEQ31" s="68">
        <f t="shared" ref="EEQ31:EEQ61" si="1373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61" si="1374">SUM(EER31:EEW31)</f>
        <v>0</v>
      </c>
      <c r="EEY31" s="68">
        <f t="shared" ref="EEY31:EEY61" si="1375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61" si="1376">SUM(EEZ31:EFE31)</f>
        <v>2053</v>
      </c>
      <c r="EFG31" s="68">
        <f t="shared" ref="EFG31:EFG61" si="1377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61" si="1378">SUM(EFH31:EFM31)</f>
        <v>1023</v>
      </c>
      <c r="EFO31" s="68">
        <f t="shared" ref="EFO31:EFO61" si="1379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61" si="1380">SUM(EFP31:EFU31)</f>
        <v>692</v>
      </c>
      <c r="EFW31" s="68">
        <f t="shared" ref="EFW31:EFW61" si="1381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61" si="1382">SUM(EFX31:EGC31)</f>
        <v>0</v>
      </c>
      <c r="EGE31" s="68">
        <f t="shared" ref="EGE31:EGE61" si="1383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61" si="1384">SUM(EGF31:EGK31)</f>
        <v>2061</v>
      </c>
      <c r="EGM31" s="68">
        <f t="shared" ref="EGM31:EGM61" si="1385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61" si="1386">SUM(EGN31:EGS31)</f>
        <v>683</v>
      </c>
      <c r="EGU31" s="68">
        <f t="shared" ref="EGU31:EGU61" si="1387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8">SUM(EGV31:EHA31)</f>
        <v>1023</v>
      </c>
      <c r="EHC31" s="68">
        <f t="shared" ref="EHC31:EHC51" si="1389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61" si="1390">SUM(EHD31:EHI31)</f>
        <v>0</v>
      </c>
      <c r="EHK31" s="68">
        <f t="shared" ref="EHK31:EHK61" si="1391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61" si="1392">SUM(EHL31:EHQ31)</f>
        <v>1008</v>
      </c>
      <c r="EHS31" s="68">
        <f t="shared" ref="EHS31:EHS61" si="1393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61" si="1394">SUM(EHT31:EHY31)</f>
        <v>1006</v>
      </c>
      <c r="EIA31" s="68">
        <f t="shared" ref="EIA31:EIA61" si="1395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61" si="1396">SUM(EIB31:EIG31)</f>
        <v>694</v>
      </c>
      <c r="EII31" s="68">
        <f t="shared" ref="EII31:EII61" si="1397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61" si="1398">SUM(EIJ31:EIO31)</f>
        <v>1006</v>
      </c>
      <c r="EIQ31" s="68">
        <f t="shared" ref="EIQ31:EIQ61" si="1399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61" si="1400">SUM(EIR31:EIW31)</f>
        <v>1362</v>
      </c>
      <c r="EIY31" s="68">
        <f t="shared" ref="EIY31:EIY61" si="1401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61" si="1402">SUM(EIZ31:EJE31)</f>
        <v>700</v>
      </c>
      <c r="EJG31" s="68">
        <f t="shared" ref="EJG31:EJG61" si="1403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61" si="1404">SUM(EJH31:EJM31)</f>
        <v>692</v>
      </c>
      <c r="EJO31" s="68">
        <f t="shared" ref="EJO31:EJO61" si="1405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61" si="1406">SUM(EJP31:EJU31)</f>
        <v>679</v>
      </c>
      <c r="EJW31" s="68">
        <f t="shared" ref="EJW31:EJW61" si="1407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61" si="1408">SUM(EJX31:EKC31)</f>
        <v>683</v>
      </c>
      <c r="EKE31" s="68">
        <f t="shared" ref="EKE31:EKE61" si="1409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61" si="1410">SUM(EKF31:EKK31)</f>
        <v>0</v>
      </c>
      <c r="EKM31" s="68">
        <f t="shared" ref="EKM31:EKM61" si="1411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61" si="1412">SUM(EKN31:EKS31)</f>
        <v>672</v>
      </c>
      <c r="EKU31" s="184">
        <f t="shared" ref="EKU31:EKU61" si="1413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61" si="1414">SUM(EKW31:ELB31)</f>
        <v>1351</v>
      </c>
      <c r="ELD31" s="211">
        <f t="shared" ref="ELD31:ELD61" si="1415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61" si="1416">SUM(ELE31:ELJ31)</f>
        <v>0</v>
      </c>
      <c r="ELL31" s="211">
        <f t="shared" ref="ELL31:ELL61" si="1417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61" si="1418">SUM(ELM31:ELR31)</f>
        <v>686</v>
      </c>
      <c r="ELT31" s="211">
        <f t="shared" ref="ELT31:ELT61" si="1419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61" si="1420">SUM(ELU31:ELZ31)</f>
        <v>692</v>
      </c>
      <c r="EMB31" s="211">
        <f t="shared" ref="EMB31:EMB61" si="1421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61" si="1422">SUM(EMC31:EMH31)</f>
        <v>675</v>
      </c>
      <c r="EMJ31" s="211">
        <f t="shared" ref="EMJ31:EMJ61" si="1423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61" si="1424">SUM(EMK31:EMP31)</f>
        <v>670</v>
      </c>
      <c r="EMR31" s="211">
        <f t="shared" ref="EMR31:EMR61" si="1425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61" si="1426">SUM(EMS31:EMX31)</f>
        <v>621</v>
      </c>
      <c r="EMZ31" s="211">
        <f t="shared" ref="EMZ31:EMZ61" si="1427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61" si="1428">SUM(ENA31:ENF31)</f>
        <v>680</v>
      </c>
      <c r="ENH31" s="211">
        <f t="shared" ref="ENH31:ENH61" si="1429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61" si="1430">SUM(ENI31:ENN31)</f>
        <v>680</v>
      </c>
      <c r="ENP31" s="211">
        <f t="shared" ref="ENP31:ENP61" si="1431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61" si="1432">SUM(ENQ31:ENV31)</f>
        <v>686</v>
      </c>
      <c r="ENX31" s="211">
        <f t="shared" ref="ENX31:ENX61" si="1433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61" si="1434">SUM(ENY31:EOD31)</f>
        <v>691</v>
      </c>
      <c r="EOF31" s="211">
        <f t="shared" ref="EOF31:EOF61" si="1435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61" si="1436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61" si="1437">SUM(EOO31:EOT31)</f>
        <v>0</v>
      </c>
      <c r="EOV31" s="211">
        <f t="shared" ref="EOV31:EOV61" si="1438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61" si="1439">SUM(EOW31:EPB31)</f>
        <v>1338</v>
      </c>
      <c r="EPD31" s="211">
        <f t="shared" ref="EPD31:EPD61" si="1440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61" si="1441">SUM(EPE31:EPJ31)</f>
        <v>0</v>
      </c>
      <c r="EPL31" s="211">
        <f t="shared" ref="EPL31:EPL61" si="1442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61" si="1443">SUM(EPM31:EPR31)</f>
        <v>695</v>
      </c>
      <c r="EPT31" s="211">
        <f t="shared" ref="EPT31:EPT61" si="1444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61" si="1445">SUM(EPU31:EPZ31)</f>
        <v>603</v>
      </c>
      <c r="EQB31" s="211">
        <f t="shared" ref="EQB31:EQB61" si="1446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61" si="1447">SUM(EQC31:EQH31)</f>
        <v>687</v>
      </c>
      <c r="EQJ31" s="211">
        <f t="shared" ref="EQJ31:EQJ61" si="1448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61" si="1449">SUM(EQK31:EQP31)</f>
        <v>689</v>
      </c>
      <c r="EQR31" s="211">
        <f t="shared" ref="EQR31:EQR61" si="1450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61" si="1451">SUM(EQS31:EQX31)</f>
        <v>677</v>
      </c>
      <c r="EQZ31" s="211">
        <f t="shared" ref="EQZ31:EQZ61" si="1452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61" si="1453">SUM(ERA31:ERF31)</f>
        <v>689</v>
      </c>
      <c r="ERH31" s="211">
        <f t="shared" ref="ERH31:ERH61" si="1454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61" si="1455">SUM(ERI31:ERN31)</f>
        <v>702</v>
      </c>
      <c r="ERP31" s="211">
        <f t="shared" ref="ERP31:ERP61" si="1456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61" si="1457">SUM(ERQ31:ERV31)</f>
        <v>0</v>
      </c>
      <c r="ERX31" s="211">
        <f t="shared" ref="ERX31:ERX61" si="1458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61" si="1459">SUM(ERY31:ESD31)</f>
        <v>690</v>
      </c>
      <c r="ESF31" s="211">
        <f t="shared" ref="ESF31:ESF61" si="1460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61" si="1461">SUM(ESG31:ESL31)</f>
        <v>685</v>
      </c>
      <c r="ESN31" s="211">
        <f t="shared" ref="ESN31:ESN61" si="1462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61" si="1463">SUM(ESO31:EST31)</f>
        <v>671</v>
      </c>
      <c r="ESV31" s="211">
        <f t="shared" ref="ESV31:ESV61" si="1464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61" si="1465">SUM(ESW31:ETB31)</f>
        <v>674</v>
      </c>
      <c r="ETD31" s="211">
        <f t="shared" ref="ETD31:ETD61" si="1466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61" si="1467">SUM(ETE31:ETJ31)</f>
        <v>0</v>
      </c>
      <c r="ETL31" s="211">
        <f t="shared" ref="ETL31:ETL61" si="1468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61" si="1469">SUM(ETM31:ETR31)</f>
        <v>1365</v>
      </c>
      <c r="ETT31" s="211">
        <f t="shared" ref="ETT31:ETT61" si="1470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61" si="1471">SUM(ETU31:ETZ31)</f>
        <v>655</v>
      </c>
      <c r="EUB31" s="211">
        <f t="shared" ref="EUB31:EUB61" si="1472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61" si="1473">SUM(EUC31:EUH31)</f>
        <v>677</v>
      </c>
      <c r="EUJ31" s="211">
        <f t="shared" ref="EUJ31:EUJ61" si="1474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61" si="1475">SUM(EUK31:EUP31)</f>
        <v>663</v>
      </c>
      <c r="EUR31" s="211">
        <f t="shared" ref="EUR31:EUR61" si="1476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61" si="1477">SUM(EUS31:EUX31)</f>
        <v>0</v>
      </c>
      <c r="EUZ31" s="211">
        <f t="shared" ref="EUZ31:EUZ61" si="1478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61" si="1479">SUM(EVA31:EVF31)</f>
        <v>0</v>
      </c>
      <c r="EVH31" s="211">
        <f t="shared" ref="EVH31:EVH61" si="1480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61" si="1481">SUM(EVI31:EVN31)</f>
        <v>0</v>
      </c>
      <c r="EVP31" s="211">
        <f t="shared" ref="EVP31:EVP61" si="1482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61" si="1483">SUM(EVQ31:EVV31)</f>
        <v>1368</v>
      </c>
      <c r="EVX31" s="211">
        <f t="shared" ref="EVX31:EVX61" si="1484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61" si="1485">SUM(EVY31:EWD31)</f>
        <v>0</v>
      </c>
      <c r="EWF31" s="211">
        <f t="shared" ref="EWF31:EWF61" si="1486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61" si="1487">SUM(EWG31:EWL31)</f>
        <v>1025</v>
      </c>
      <c r="EWN31" s="211">
        <f t="shared" ref="EWN31:EWN61" si="1488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61" si="1489">SUM(EWO31:EWT31)</f>
        <v>0</v>
      </c>
      <c r="EWV31" s="211">
        <f t="shared" ref="EWV31:EWV61" si="1490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61" si="1491">SUM(EWW31:EXB31)</f>
        <v>687</v>
      </c>
      <c r="EXD31" s="211">
        <f t="shared" ref="EXD31:EXD61" si="1492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61" si="1493">SUM(EXE31:EXJ31)</f>
        <v>0</v>
      </c>
      <c r="EXL31" s="211">
        <f t="shared" ref="EXL31:EXL61" si="1494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61" si="1495">SUM(EXM31:EXR31)</f>
        <v>696</v>
      </c>
      <c r="EXT31" s="211">
        <f t="shared" ref="EXT31:EXT61" si="1496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61" si="1497">SUM(EXU31:EXZ31)</f>
        <v>588</v>
      </c>
      <c r="EYB31" s="211">
        <f t="shared" ref="EYB31:EYB61" si="1498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61" si="1499">SUM(EYC31:EYH31)</f>
        <v>350</v>
      </c>
      <c r="EYJ31" s="211">
        <f t="shared" ref="EYJ31:EYJ61" si="1500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61" si="1501">SUM(EYK31:EYP31)</f>
        <v>698</v>
      </c>
      <c r="EYR31" s="211">
        <f t="shared" ref="EYR31:EYR61" si="1502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61" si="1503">SUM(EYS31:EYX31)</f>
        <v>677</v>
      </c>
      <c r="EYZ31" s="873">
        <f t="shared" ref="EYZ31:EYZ61" si="1504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61" si="1505">SUM(EZA31:EZF31)</f>
        <v>920</v>
      </c>
      <c r="EZH31" s="873">
        <f t="shared" ref="EZH31:EZH61" si="1506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>
        <v>689</v>
      </c>
      <c r="EZO31" s="872">
        <f t="shared" ref="EZO31:EZO61" si="1507">SUM(EZI31:EZN31)</f>
        <v>689</v>
      </c>
      <c r="EZP31" s="873">
        <f t="shared" ref="EZP31:EZP61" si="1508">EZO31/$EZP$5</f>
        <v>114.83333333333333</v>
      </c>
      <c r="EZQ31" s="750">
        <v>0</v>
      </c>
      <c r="EZR31" s="751"/>
      <c r="EZS31" s="751">
        <v>0</v>
      </c>
      <c r="EZT31" s="751">
        <v>0</v>
      </c>
      <c r="EZU31" s="751">
        <v>0</v>
      </c>
      <c r="EZV31" s="751">
        <v>0</v>
      </c>
      <c r="EZW31" s="872">
        <f t="shared" ref="EZW31:EZW61" si="1509">SUM(EZQ31:EZV31)</f>
        <v>0</v>
      </c>
      <c r="EZX31" s="873">
        <f t="shared" ref="EZX31:EZX61" si="1510">EZW31/$EZX$5</f>
        <v>0</v>
      </c>
      <c r="EZY31" s="682">
        <v>0</v>
      </c>
      <c r="EZZ31" s="600">
        <v>0</v>
      </c>
      <c r="FAA31" s="600"/>
      <c r="FAB31" s="600"/>
      <c r="FAC31" s="600"/>
      <c r="FAD31" s="600"/>
      <c r="FAE31" s="872">
        <f t="shared" ref="FAE31:FAE61" si="1511">SUM(EZY31:FAD31)</f>
        <v>0</v>
      </c>
      <c r="FAF31" s="873">
        <f t="shared" ref="FAF31:FAF61" si="1512">FAE31/$FAF$5</f>
        <v>0</v>
      </c>
    </row>
    <row r="32" spans="1:4088" s="567" customFormat="1" ht="13.5" hidden="1" thickBot="1" x14ac:dyDescent="0.25">
      <c r="A32" s="21">
        <v>3</v>
      </c>
      <c r="B32" s="297" t="s">
        <v>325</v>
      </c>
      <c r="C32" s="725" t="s">
        <v>326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6"/>
        <v>0</v>
      </c>
      <c r="L32" s="24">
        <f t="shared" ref="L32" si="1513">F32+H32-J32</f>
        <v>0</v>
      </c>
      <c r="M32" s="15">
        <f t="shared" ref="M32" si="1514">K32+L32</f>
        <v>0</v>
      </c>
      <c r="N32" s="443">
        <v>0</v>
      </c>
      <c r="O32" s="276">
        <f t="shared" si="1229"/>
        <v>0</v>
      </c>
      <c r="P32" s="727"/>
      <c r="Q32" s="15"/>
      <c r="R32" s="15"/>
      <c r="S32" s="222"/>
      <c r="T32" s="15"/>
      <c r="U32" s="729"/>
      <c r="V32" s="276">
        <f t="shared" si="1233"/>
        <v>0</v>
      </c>
      <c r="W32" s="279" t="e">
        <f t="shared" si="1234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14"/>
        <v>0</v>
      </c>
      <c r="ELD32" s="211">
        <f t="shared" si="1415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16"/>
        <v>0</v>
      </c>
      <c r="ELL32" s="211">
        <f t="shared" si="1417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8"/>
        <v>0</v>
      </c>
      <c r="ELT32" s="211">
        <f t="shared" si="1419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20"/>
        <v>0</v>
      </c>
      <c r="EMB32" s="211">
        <f t="shared" si="1421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22"/>
        <v>0</v>
      </c>
      <c r="EMJ32" s="211">
        <f t="shared" si="1423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24"/>
        <v>0</v>
      </c>
      <c r="EMR32" s="211">
        <f t="shared" si="1425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26"/>
        <v>0</v>
      </c>
      <c r="EMZ32" s="211">
        <f t="shared" si="1427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8"/>
        <v>0</v>
      </c>
      <c r="ENH32" s="211">
        <f t="shared" si="1429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30"/>
        <v>0</v>
      </c>
      <c r="ENP32" s="211">
        <f t="shared" si="1431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32"/>
        <v>0</v>
      </c>
      <c r="ENX32" s="211">
        <f t="shared" si="1433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34"/>
        <v>0</v>
      </c>
      <c r="EOF32" s="211">
        <f t="shared" si="1435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36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37"/>
        <v>0</v>
      </c>
      <c r="EOV32" s="211">
        <f t="shared" si="1438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9"/>
        <v>0</v>
      </c>
      <c r="EPD32" s="211">
        <f t="shared" si="1440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41"/>
        <v>0</v>
      </c>
      <c r="EPL32" s="211">
        <f t="shared" si="1442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43"/>
        <v>0</v>
      </c>
      <c r="EPT32" s="211">
        <f t="shared" si="1444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45"/>
        <v>0</v>
      </c>
      <c r="EQB32" s="211">
        <f t="shared" si="1446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47"/>
        <v>0</v>
      </c>
      <c r="EQJ32" s="211">
        <f t="shared" si="1448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9"/>
        <v>0</v>
      </c>
      <c r="EQR32" s="211">
        <f t="shared" si="1450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51"/>
        <v>0</v>
      </c>
      <c r="EQZ32" s="211">
        <f t="shared" si="1452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53"/>
        <v>0</v>
      </c>
      <c r="ERH32" s="211">
        <f t="shared" si="1454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55"/>
        <v>0</v>
      </c>
      <c r="ERP32" s="211">
        <f t="shared" si="1456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57"/>
        <v>800</v>
      </c>
      <c r="ERX32" s="211">
        <f t="shared" si="1458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9"/>
        <v>0</v>
      </c>
      <c r="ESF32" s="211">
        <f t="shared" si="1460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61"/>
        <v>0</v>
      </c>
      <c r="ESN32" s="211">
        <f t="shared" si="1462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63"/>
        <v>0</v>
      </c>
      <c r="ESV32" s="211">
        <f t="shared" si="1464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65"/>
        <v>0</v>
      </c>
      <c r="ETD32" s="211">
        <f t="shared" si="1466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67"/>
        <v>0</v>
      </c>
      <c r="ETL32" s="211">
        <f t="shared" si="1468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9"/>
        <v>0</v>
      </c>
      <c r="ETT32" s="211">
        <f t="shared" si="1470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71"/>
        <v>0</v>
      </c>
      <c r="EUB32" s="211">
        <f t="shared" si="1472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73"/>
        <v>0</v>
      </c>
      <c r="EUJ32" s="211">
        <f t="shared" si="1474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75"/>
        <v>0</v>
      </c>
      <c r="EUR32" s="211">
        <f t="shared" si="1476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77"/>
        <v>0</v>
      </c>
      <c r="EUZ32" s="211">
        <f t="shared" si="1478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9"/>
        <v>0</v>
      </c>
      <c r="EVH32" s="211">
        <f t="shared" si="1480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81"/>
        <v>0</v>
      </c>
      <c r="EVP32" s="211">
        <f t="shared" si="1482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83"/>
        <v>0</v>
      </c>
      <c r="EVX32" s="211">
        <f t="shared" si="1484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85"/>
        <v>0</v>
      </c>
      <c r="EWF32" s="211">
        <f t="shared" si="1486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87"/>
        <v>0</v>
      </c>
      <c r="EWN32" s="211">
        <f t="shared" si="1488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9"/>
        <v>0</v>
      </c>
      <c r="EWV32" s="211">
        <f t="shared" si="1490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91"/>
        <v>0</v>
      </c>
      <c r="EXD32" s="211">
        <f t="shared" si="1492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93"/>
        <v>0</v>
      </c>
      <c r="EXL32" s="211">
        <f t="shared" si="1494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95"/>
        <v>0</v>
      </c>
      <c r="EXT32" s="211">
        <f t="shared" si="1496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97"/>
        <v>0</v>
      </c>
      <c r="EYB32" s="211">
        <f t="shared" si="1498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9"/>
        <v>0</v>
      </c>
      <c r="EYJ32" s="211">
        <f t="shared" si="1500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501"/>
        <v>0</v>
      </c>
      <c r="EYR32" s="211">
        <f t="shared" si="1502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503"/>
        <v>0</v>
      </c>
      <c r="EYZ32" s="873">
        <f t="shared" si="1504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505"/>
        <v>0</v>
      </c>
      <c r="EZH32" s="873">
        <f t="shared" si="1506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0</v>
      </c>
      <c r="EZO32" s="872">
        <f t="shared" si="1507"/>
        <v>0</v>
      </c>
      <c r="EZP32" s="873">
        <f t="shared" si="1508"/>
        <v>0</v>
      </c>
      <c r="EZQ32" s="750">
        <v>0</v>
      </c>
      <c r="EZR32" s="751"/>
      <c r="EZS32" s="751">
        <v>0</v>
      </c>
      <c r="EZT32" s="751">
        <v>0</v>
      </c>
      <c r="EZU32" s="751">
        <v>0</v>
      </c>
      <c r="EZV32" s="751">
        <v>0</v>
      </c>
      <c r="EZW32" s="872">
        <f t="shared" si="1509"/>
        <v>0</v>
      </c>
      <c r="EZX32" s="873">
        <f t="shared" si="1510"/>
        <v>0</v>
      </c>
      <c r="EZY32" s="682">
        <v>0</v>
      </c>
      <c r="EZZ32" s="600">
        <v>0</v>
      </c>
      <c r="FAA32" s="600"/>
      <c r="FAB32" s="600"/>
      <c r="FAC32" s="600"/>
      <c r="FAD32" s="600"/>
      <c r="FAE32" s="872">
        <f t="shared" si="1511"/>
        <v>0</v>
      </c>
      <c r="FAF32" s="873">
        <f t="shared" si="1512"/>
        <v>0</v>
      </c>
    </row>
    <row r="33" spans="1:4088" s="567" customFormat="1" ht="13.5" hidden="1" thickBot="1" x14ac:dyDescent="0.25">
      <c r="A33" s="21">
        <v>4</v>
      </c>
      <c r="B33" s="297" t="s">
        <v>442</v>
      </c>
      <c r="C33" s="725" t="s">
        <v>328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6"/>
        <v>0</v>
      </c>
      <c r="L33" s="24">
        <f t="shared" ref="L33" si="1515">F33+H33-J33</f>
        <v>0</v>
      </c>
      <c r="M33" s="15">
        <f t="shared" ref="M33" si="1516">K33+L33</f>
        <v>0</v>
      </c>
      <c r="N33" s="443">
        <v>0</v>
      </c>
      <c r="O33" s="276">
        <f t="shared" si="1229"/>
        <v>0</v>
      </c>
      <c r="P33" s="727"/>
      <c r="Q33" s="15"/>
      <c r="R33" s="15"/>
      <c r="S33" s="222"/>
      <c r="T33" s="15"/>
      <c r="U33" s="729"/>
      <c r="V33" s="276">
        <f t="shared" si="1233"/>
        <v>0</v>
      </c>
      <c r="W33" s="279" t="e">
        <f t="shared" si="1234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6"/>
        <v>0</v>
      </c>
      <c r="ELL33" s="211">
        <f t="shared" si="1417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8"/>
        <v>0</v>
      </c>
      <c r="ELT33" s="211">
        <f t="shared" si="1419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20"/>
        <v>0</v>
      </c>
      <c r="EMB33" s="211">
        <f t="shared" si="1421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22"/>
        <v>0</v>
      </c>
      <c r="EMJ33" s="211">
        <f t="shared" si="1423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4"/>
        <v>0</v>
      </c>
      <c r="EMR33" s="211">
        <f t="shared" si="1425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6"/>
        <v>0</v>
      </c>
      <c r="EMZ33" s="211">
        <f t="shared" si="1427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8"/>
        <v>0</v>
      </c>
      <c r="ENH33" s="211">
        <f t="shared" si="1429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30"/>
        <v>0</v>
      </c>
      <c r="ENP33" s="211">
        <f t="shared" si="1431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32"/>
        <v>0</v>
      </c>
      <c r="ENX33" s="211">
        <f t="shared" si="1433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4"/>
        <v>0</v>
      </c>
      <c r="EOF33" s="211">
        <f t="shared" si="1435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6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7"/>
        <v>0</v>
      </c>
      <c r="EOV33" s="211">
        <f t="shared" si="1438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9"/>
        <v>0</v>
      </c>
      <c r="EPD33" s="211">
        <f t="shared" si="1440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41"/>
        <v>0</v>
      </c>
      <c r="EPL33" s="211">
        <f t="shared" si="1442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43"/>
        <v>0</v>
      </c>
      <c r="EPT33" s="211">
        <f t="shared" si="1444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5"/>
        <v>0</v>
      </c>
      <c r="EQB33" s="211">
        <f t="shared" si="1446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7"/>
        <v>0</v>
      </c>
      <c r="EQJ33" s="211">
        <f t="shared" si="1448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9"/>
        <v>0</v>
      </c>
      <c r="EQR33" s="211">
        <f t="shared" si="1450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51"/>
        <v>0</v>
      </c>
      <c r="EQZ33" s="211">
        <f t="shared" si="1452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53"/>
        <v>0</v>
      </c>
      <c r="ERH33" s="211">
        <f t="shared" si="1454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5"/>
        <v>0</v>
      </c>
      <c r="ERP33" s="211">
        <f t="shared" si="1456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57"/>
        <v>447</v>
      </c>
      <c r="ERX33" s="211">
        <f t="shared" si="1458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9"/>
        <v>0</v>
      </c>
      <c r="ESF33" s="211">
        <f t="shared" si="1460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61"/>
        <v>0</v>
      </c>
      <c r="ESN33" s="211">
        <f t="shared" si="1462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63"/>
        <v>0</v>
      </c>
      <c r="ESV33" s="211">
        <f t="shared" si="1464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5"/>
        <v>0</v>
      </c>
      <c r="ETD33" s="211">
        <f t="shared" si="1466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7"/>
        <v>0</v>
      </c>
      <c r="ETL33" s="211">
        <f t="shared" si="1468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9"/>
        <v>0</v>
      </c>
      <c r="ETT33" s="211">
        <f t="shared" si="1470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71"/>
        <v>0</v>
      </c>
      <c r="EUB33" s="211">
        <f t="shared" si="1472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73"/>
        <v>0</v>
      </c>
      <c r="EUJ33" s="211">
        <f t="shared" si="1474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5"/>
        <v>0</v>
      </c>
      <c r="EUR33" s="211">
        <f t="shared" si="1476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7"/>
        <v>0</v>
      </c>
      <c r="EUZ33" s="211">
        <f t="shared" si="1478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9"/>
        <v>0</v>
      </c>
      <c r="EVH33" s="211">
        <f t="shared" si="1480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81"/>
        <v>0</v>
      </c>
      <c r="EVP33" s="211">
        <f t="shared" si="1482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83"/>
        <v>0</v>
      </c>
      <c r="EVX33" s="211">
        <f t="shared" si="1484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5"/>
        <v>0</v>
      </c>
      <c r="EWF33" s="211">
        <f t="shared" si="1486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7"/>
        <v>0</v>
      </c>
      <c r="EWN33" s="211">
        <f t="shared" si="1488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9"/>
        <v>0</v>
      </c>
      <c r="EWV33" s="211">
        <f t="shared" si="1490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91"/>
        <v>0</v>
      </c>
      <c r="EXD33" s="211">
        <f t="shared" si="1492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93"/>
        <v>0</v>
      </c>
      <c r="EXL33" s="211">
        <f t="shared" si="1494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5"/>
        <v>0</v>
      </c>
      <c r="EXT33" s="211">
        <f t="shared" si="1496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7"/>
        <v>0</v>
      </c>
      <c r="EYB33" s="211">
        <f t="shared" si="1498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9"/>
        <v>0</v>
      </c>
      <c r="EYJ33" s="211">
        <f t="shared" si="1500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501"/>
        <v>0</v>
      </c>
      <c r="EYR33" s="211">
        <f t="shared" si="1502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503"/>
        <v>0</v>
      </c>
      <c r="EYZ33" s="873">
        <f t="shared" si="1504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5"/>
        <v>0</v>
      </c>
      <c r="EZH33" s="873">
        <f t="shared" si="1506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7"/>
        <v>0</v>
      </c>
      <c r="EZP33" s="873">
        <f t="shared" si="1508"/>
        <v>0</v>
      </c>
      <c r="EZQ33" s="750">
        <v>0</v>
      </c>
      <c r="EZR33" s="751"/>
      <c r="EZS33" s="751">
        <v>0</v>
      </c>
      <c r="EZT33" s="751">
        <v>0</v>
      </c>
      <c r="EZU33" s="751">
        <v>0</v>
      </c>
      <c r="EZV33" s="751">
        <v>0</v>
      </c>
      <c r="EZW33" s="872">
        <f t="shared" si="1509"/>
        <v>0</v>
      </c>
      <c r="EZX33" s="873">
        <f t="shared" si="1510"/>
        <v>0</v>
      </c>
      <c r="EZY33" s="682">
        <v>0</v>
      </c>
      <c r="EZZ33" s="600">
        <v>0</v>
      </c>
      <c r="FAA33" s="600"/>
      <c r="FAB33" s="600"/>
      <c r="FAC33" s="600"/>
      <c r="FAD33" s="600"/>
      <c r="FAE33" s="872">
        <f t="shared" si="1511"/>
        <v>0</v>
      </c>
      <c r="FAF33" s="873">
        <f t="shared" si="1512"/>
        <v>0</v>
      </c>
    </row>
    <row r="34" spans="1:4088" ht="13.5" thickBot="1" x14ac:dyDescent="0.25">
      <c r="A34" s="21">
        <v>5</v>
      </c>
      <c r="B34" s="297" t="s">
        <v>43</v>
      </c>
      <c r="C34" s="725" t="s">
        <v>316</v>
      </c>
      <c r="D34" s="297">
        <v>25</v>
      </c>
      <c r="E34" s="726"/>
      <c r="F34" s="24">
        <v>2071</v>
      </c>
      <c r="G34" s="24"/>
      <c r="H34" s="24"/>
      <c r="I34" s="24"/>
      <c r="J34" s="360">
        <f>SUMIF(SUMPK!$B:$B,$B:$B,SUMPK!$O:$O)</f>
        <v>0</v>
      </c>
      <c r="K34" s="24">
        <f t="shared" si="1226"/>
        <v>0</v>
      </c>
      <c r="L34" s="24">
        <f t="shared" ref="L34:L48" si="1517">F34+H34-J34</f>
        <v>2071</v>
      </c>
      <c r="M34" s="15">
        <f>K34+L34</f>
        <v>2071</v>
      </c>
      <c r="N34" s="15">
        <v>0</v>
      </c>
      <c r="O34" s="276">
        <f t="shared" si="1229"/>
        <v>0</v>
      </c>
      <c r="P34" s="15">
        <v>146.66666666666666</v>
      </c>
      <c r="Q34" s="15">
        <f t="shared" ref="Q34:Q51" si="1518">IF(P34=0,0,M34/P34*6)</f>
        <v>84.722727272727269</v>
      </c>
      <c r="R34" s="15">
        <f t="shared" ref="R34:R51" si="1519">S34/$S$3</f>
        <v>184.61538461538461</v>
      </c>
      <c r="S34" s="222">
        <v>4800</v>
      </c>
      <c r="T34" s="15">
        <f>IF(R34=0,0,M34/R34)</f>
        <v>11.217916666666667</v>
      </c>
      <c r="U34" s="15"/>
      <c r="V34" s="276">
        <f t="shared" si="1233"/>
        <v>11.217916666666667</v>
      </c>
      <c r="W34" s="279">
        <f t="shared" si="1234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20">SUM(BR34:BW34)</f>
        <v>589</v>
      </c>
      <c r="BY34" s="43">
        <f t="shared" ref="BY34" si="1521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22">SUM(BZ34:CE34)</f>
        <v>595</v>
      </c>
      <c r="CG34" s="43">
        <f t="shared" ref="CG34" si="1523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24">SUM(CH34:CM34)</f>
        <v>600</v>
      </c>
      <c r="CO34" s="43">
        <f t="shared" ref="CO34" si="1525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26">SUM(CP34:CU34)</f>
        <v>601</v>
      </c>
      <c r="CW34" s="43">
        <f t="shared" ref="CW34" si="1527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28">SUM(CX34:DC34)</f>
        <v>1002</v>
      </c>
      <c r="DE34" s="43">
        <f t="shared" ref="DE34" si="1529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30">SUM(DF34:DK34)</f>
        <v>602</v>
      </c>
      <c r="DM34" s="43">
        <f t="shared" ref="DM34" si="1531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32">SUM(DN34:DS34)</f>
        <v>999</v>
      </c>
      <c r="DU34" s="43">
        <f t="shared" ref="DU34" si="1533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34">SUM(DV34:EA34)</f>
        <v>200</v>
      </c>
      <c r="EC34" s="43">
        <f t="shared" ref="EC34" si="1535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36">SUM(ED34:EI34)</f>
        <v>120</v>
      </c>
      <c r="EK34" s="74">
        <f t="shared" ref="EK34" si="1537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38">SUM(EL34:EQ34)</f>
        <v>201</v>
      </c>
      <c r="ES34" s="43">
        <f t="shared" ref="ES34" si="1539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40">SUM(ET34:EY34)</f>
        <v>1195</v>
      </c>
      <c r="FA34" s="43">
        <f t="shared" ref="FA34" si="1541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42">SUM(FB34:FG34)</f>
        <v>1016</v>
      </c>
      <c r="FI34" s="43">
        <f t="shared" ref="FI34" si="1543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44">SUM(FJ34:FO34)</f>
        <v>0</v>
      </c>
      <c r="FQ34" s="43">
        <f t="shared" ref="FQ34" si="1545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46">SUM(FR34:FW34)</f>
        <v>611</v>
      </c>
      <c r="FY34" s="43">
        <f t="shared" ref="FY34" si="1547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48">SUM(FZ34:GE34)</f>
        <v>701</v>
      </c>
      <c r="GG34" s="43">
        <f t="shared" ref="GG34" si="1549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50">SUM(GH34:GM34)</f>
        <v>400</v>
      </c>
      <c r="GO34" s="43">
        <f t="shared" ref="GO34" si="1551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52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53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54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55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56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57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58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59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60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61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62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63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64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65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66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67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68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69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70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71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72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73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74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75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76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77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78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79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80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81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82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83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84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85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86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87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88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89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90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91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92">SUM(ZQ34:ZW34)</f>
        <v>693</v>
      </c>
      <c r="ZY34" s="70">
        <f t="shared" ref="ZY34" si="1593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94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95">SUM(BXP34:BXU34)</f>
        <v>0</v>
      </c>
      <c r="BXW34" s="68">
        <f t="shared" ref="BXW34:BXW45" si="1596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97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98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61" si="1599">SUM(DRL34:DRQ34)</f>
        <v>2452</v>
      </c>
      <c r="DRS34" s="68">
        <f t="shared" ref="DRS34:DRS61" si="1600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61" si="1601">SUM(DRT34:DRY34)</f>
        <v>1936</v>
      </c>
      <c r="DSA34" s="68">
        <f t="shared" ref="DSA34:DSA61" si="1602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61" si="1603">SUM(DSB34:DSG34)</f>
        <v>723</v>
      </c>
      <c r="DSI34" s="68">
        <f t="shared" ref="DSI34:DSI61" si="1604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61" si="1605">SUM(DSJ34:DSO34)</f>
        <v>1127</v>
      </c>
      <c r="DSQ34" s="68">
        <f t="shared" ref="DSQ34:DSQ61" si="1606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61" si="1607">SUM(DSR34:DSW34)</f>
        <v>1286</v>
      </c>
      <c r="DSY34" s="68">
        <f t="shared" ref="DSY34:DSY61" si="1608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61" si="1609">SUM(DSZ34:DTE34)</f>
        <v>866</v>
      </c>
      <c r="DTG34" s="68">
        <f t="shared" ref="DTG34:DTG61" si="1610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61" si="1611">SUM(DTH34:DTM34)</f>
        <v>1268</v>
      </c>
      <c r="DTO34" s="68">
        <f t="shared" ref="DTO34:DTO61" si="1612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61" si="1613">SUM(DTP34:DTU34)</f>
        <v>1475</v>
      </c>
      <c r="DTW34" s="68">
        <f t="shared" ref="DTW34:DTW61" si="1614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61" si="1615">SUM(DTX34:DUC34)</f>
        <v>2754</v>
      </c>
      <c r="DUE34" s="68">
        <f t="shared" ref="DUE34:DUE61" si="1616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61" si="1617">SUM(DUF34:DUK34)</f>
        <v>1103</v>
      </c>
      <c r="DUM34" s="68">
        <f t="shared" ref="DUM34:DUM61" si="1618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61" si="1619">SUM(DUN34:DUS34)</f>
        <v>1015</v>
      </c>
      <c r="DUU34" s="68">
        <f t="shared" ref="DUU34:DUU61" si="1620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61" si="1621">SUM(DUV34:DVA34)</f>
        <v>220</v>
      </c>
      <c r="DVC34" s="68">
        <f t="shared" ref="DVC34:DVC61" si="1622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61" si="1623">SUM(DVD34:DVI34)</f>
        <v>1777</v>
      </c>
      <c r="DVK34" s="68">
        <f t="shared" ref="DVK34:DVK61" si="1624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61" si="1625">SUM(DVL34:DVQ34)</f>
        <v>0</v>
      </c>
      <c r="DVS34" s="68">
        <f t="shared" ref="DVS34:DVS61" si="1626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61" si="1627">SUM(DVT34:DVY34)</f>
        <v>1440</v>
      </c>
      <c r="DWA34" s="68">
        <f t="shared" ref="DWA34:DWA61" si="1628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61" si="1629">SUM(DWB34:DWG34)</f>
        <v>804</v>
      </c>
      <c r="DWI34" s="68">
        <f t="shared" ref="DWI34:DWI61" si="1630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61" si="1631">SUM(DWJ34:DWO34)</f>
        <v>330</v>
      </c>
      <c r="DWQ34" s="68">
        <f t="shared" ref="DWQ34:DWQ61" si="1632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61" si="1633">SUM(DWR34:DWW34)</f>
        <v>880</v>
      </c>
      <c r="DWY34" s="68">
        <f t="shared" ref="DWY34:DWY61" si="1634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61" si="1635">SUM(DWZ34:DXE34)</f>
        <v>983</v>
      </c>
      <c r="DXG34" s="68">
        <f t="shared" ref="DXG34:DXG61" si="1636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61" si="1637">SUM(DXH34:DXM34)</f>
        <v>1499</v>
      </c>
      <c r="DXO34" s="68">
        <f t="shared" ref="DXO34:DXO61" si="1638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8"/>
        <v>299</v>
      </c>
      <c r="DXW34" s="68">
        <f t="shared" si="1329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30"/>
        <v>1454</v>
      </c>
      <c r="DYE34" s="68">
        <f t="shared" si="1331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32"/>
        <v>417</v>
      </c>
      <c r="DYM34" s="68">
        <f t="shared" si="1333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34"/>
        <v>1231</v>
      </c>
      <c r="DYU34" s="68">
        <f t="shared" si="1335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36"/>
        <v>1274</v>
      </c>
      <c r="DZC34" s="68">
        <f t="shared" si="1337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8"/>
        <v>1289</v>
      </c>
      <c r="DZK34" s="68">
        <f t="shared" si="1339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40"/>
        <v>853</v>
      </c>
      <c r="DZS34" s="68">
        <f t="shared" si="1341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42"/>
        <v>885</v>
      </c>
      <c r="EAA34" s="68">
        <f t="shared" si="1343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44"/>
        <v>1715</v>
      </c>
      <c r="EAI34" s="68">
        <f t="shared" si="1345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46"/>
        <v>162</v>
      </c>
      <c r="EAQ34" s="68">
        <f t="shared" si="1347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8"/>
        <v>1340</v>
      </c>
      <c r="EAY34" s="68">
        <f t="shared" si="1349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50"/>
        <v>218</v>
      </c>
      <c r="EBG34" s="68">
        <f t="shared" si="1351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52"/>
        <v>112</v>
      </c>
      <c r="EBO34" s="68">
        <f t="shared" si="1353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54"/>
        <v>701</v>
      </c>
      <c r="EBW34" s="68">
        <f t="shared" si="1355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56"/>
        <v>0</v>
      </c>
      <c r="ECE34" s="68">
        <f t="shared" si="1357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8"/>
        <v>400</v>
      </c>
      <c r="ECM34" s="68">
        <f t="shared" si="1359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60"/>
        <v>560</v>
      </c>
      <c r="ECU34" s="68">
        <f t="shared" si="1361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62"/>
        <v>726</v>
      </c>
      <c r="EDC34" s="68">
        <f t="shared" si="1363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64"/>
        <v>1251</v>
      </c>
      <c r="EDK34" s="68">
        <f t="shared" si="1365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66"/>
        <v>1346</v>
      </c>
      <c r="EDS34" s="68">
        <f t="shared" si="1367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8"/>
        <v>478</v>
      </c>
      <c r="EEA34" s="68">
        <f t="shared" si="1369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70"/>
        <v>975</v>
      </c>
      <c r="EEI34" s="68">
        <f t="shared" si="1371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72"/>
        <v>970</v>
      </c>
      <c r="EEQ34" s="68">
        <f t="shared" si="1373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74"/>
        <v>0</v>
      </c>
      <c r="EEY34" s="68">
        <f t="shared" si="1375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76"/>
        <v>1439</v>
      </c>
      <c r="EFG34" s="68">
        <f t="shared" si="1377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8"/>
        <v>3287</v>
      </c>
      <c r="EFO34" s="68">
        <f t="shared" si="1379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80"/>
        <v>0</v>
      </c>
      <c r="EFW34" s="68">
        <f t="shared" si="1381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82"/>
        <v>1340</v>
      </c>
      <c r="EGE34" s="68">
        <f t="shared" si="1383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84"/>
        <v>412</v>
      </c>
      <c r="EGM34" s="68">
        <f t="shared" si="1385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86"/>
        <v>109</v>
      </c>
      <c r="EGU34" s="68">
        <f t="shared" si="1387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8"/>
        <v>477</v>
      </c>
      <c r="EHC34" s="68">
        <f t="shared" si="1389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90"/>
        <v>529</v>
      </c>
      <c r="EHK34" s="68">
        <f t="shared" si="1391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92"/>
        <v>1411</v>
      </c>
      <c r="EHS34" s="68">
        <f t="shared" si="1393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94"/>
        <v>1527</v>
      </c>
      <c r="EIA34" s="68">
        <f t="shared" si="1395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96"/>
        <v>0</v>
      </c>
      <c r="EII34" s="68">
        <f t="shared" si="1397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8"/>
        <v>875</v>
      </c>
      <c r="EIQ34" s="68">
        <f t="shared" si="1399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400"/>
        <v>108</v>
      </c>
      <c r="EIY34" s="68">
        <f t="shared" si="1401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402"/>
        <v>110</v>
      </c>
      <c r="EJG34" s="68">
        <f t="shared" si="1403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404"/>
        <v>220</v>
      </c>
      <c r="EJO34" s="68">
        <f t="shared" si="1405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406"/>
        <v>220</v>
      </c>
      <c r="EJW34" s="68">
        <f t="shared" si="1407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8"/>
        <v>399</v>
      </c>
      <c r="EKE34" s="68">
        <f t="shared" si="1409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10"/>
        <v>417</v>
      </c>
      <c r="EKM34" s="68">
        <f t="shared" si="1411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12"/>
        <v>200</v>
      </c>
      <c r="EKU34" s="184">
        <f t="shared" si="1413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14"/>
        <v>320</v>
      </c>
      <c r="ELD34" s="211">
        <f t="shared" si="1415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16"/>
        <v>462</v>
      </c>
      <c r="ELL34" s="211">
        <f t="shared" si="1417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8"/>
        <v>762</v>
      </c>
      <c r="ELT34" s="211">
        <f t="shared" si="1419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20"/>
        <v>1098</v>
      </c>
      <c r="EMB34" s="211">
        <f t="shared" si="1421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22"/>
        <v>794</v>
      </c>
      <c r="EMJ34" s="211">
        <f t="shared" si="1423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24"/>
        <v>909</v>
      </c>
      <c r="EMR34" s="211">
        <f t="shared" si="1425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26"/>
        <v>1526</v>
      </c>
      <c r="EMZ34" s="211">
        <f t="shared" si="1427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8"/>
        <v>40</v>
      </c>
      <c r="ENH34" s="211">
        <f t="shared" si="1429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30"/>
        <v>241</v>
      </c>
      <c r="ENP34" s="211">
        <f t="shared" si="1431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32"/>
        <v>575</v>
      </c>
      <c r="ENX34" s="211">
        <f t="shared" si="1433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34"/>
        <v>0</v>
      </c>
      <c r="EOF34" s="211">
        <f t="shared" si="1435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36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37"/>
        <v>108</v>
      </c>
      <c r="EOV34" s="211">
        <f t="shared" si="1438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9"/>
        <v>0</v>
      </c>
      <c r="EPD34" s="211">
        <f t="shared" si="1440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41"/>
        <v>124</v>
      </c>
      <c r="EPL34" s="211">
        <f t="shared" si="1442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43"/>
        <v>722</v>
      </c>
      <c r="EPT34" s="211">
        <f t="shared" si="1444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45"/>
        <v>0</v>
      </c>
      <c r="EQB34" s="211">
        <f t="shared" si="1446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47"/>
        <v>0</v>
      </c>
      <c r="EQJ34" s="211">
        <f t="shared" si="1448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9"/>
        <v>646</v>
      </c>
      <c r="EQR34" s="211">
        <f t="shared" si="1450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51"/>
        <v>30</v>
      </c>
      <c r="EQZ34" s="211">
        <f t="shared" si="1452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53"/>
        <v>282</v>
      </c>
      <c r="ERH34" s="211">
        <f t="shared" si="1454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55"/>
        <v>1119</v>
      </c>
      <c r="ERP34" s="211">
        <f t="shared" si="1456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57"/>
        <v>0</v>
      </c>
      <c r="ERX34" s="211">
        <f t="shared" si="1458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9"/>
        <v>221</v>
      </c>
      <c r="ESF34" s="211">
        <f t="shared" si="1460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61"/>
        <v>629</v>
      </c>
      <c r="ESN34" s="211">
        <f t="shared" si="1462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63"/>
        <v>0</v>
      </c>
      <c r="ESV34" s="211">
        <f t="shared" si="1464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65"/>
        <v>0</v>
      </c>
      <c r="ETD34" s="211">
        <f t="shared" si="1466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67"/>
        <v>42</v>
      </c>
      <c r="ETL34" s="211">
        <f t="shared" si="1468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9"/>
        <v>80</v>
      </c>
      <c r="ETT34" s="211">
        <f t="shared" si="1470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71"/>
        <v>279</v>
      </c>
      <c r="EUB34" s="211">
        <f t="shared" si="1472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73"/>
        <v>280</v>
      </c>
      <c r="EUJ34" s="211">
        <f t="shared" si="1474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75"/>
        <v>79</v>
      </c>
      <c r="EUR34" s="211">
        <f t="shared" si="1476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77"/>
        <v>114</v>
      </c>
      <c r="EUZ34" s="211">
        <f t="shared" si="1478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9"/>
        <v>0</v>
      </c>
      <c r="EVH34" s="211">
        <f t="shared" si="1480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81"/>
        <v>0</v>
      </c>
      <c r="EVP34" s="211">
        <f t="shared" si="1482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83"/>
        <v>101</v>
      </c>
      <c r="EVX34" s="211">
        <f t="shared" si="1484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85"/>
        <v>609</v>
      </c>
      <c r="EWF34" s="211">
        <f t="shared" si="1486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87"/>
        <v>399</v>
      </c>
      <c r="EWN34" s="211">
        <f t="shared" si="1488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9"/>
        <v>708</v>
      </c>
      <c r="EWV34" s="211">
        <f t="shared" si="1490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91"/>
        <v>781</v>
      </c>
      <c r="EXD34" s="211">
        <f t="shared" si="1492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93"/>
        <v>200</v>
      </c>
      <c r="EXL34" s="211">
        <f t="shared" si="1494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95"/>
        <v>300</v>
      </c>
      <c r="EXT34" s="211">
        <f t="shared" si="1496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97"/>
        <v>105</v>
      </c>
      <c r="EYB34" s="211">
        <f t="shared" si="1498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9"/>
        <v>340</v>
      </c>
      <c r="EYJ34" s="211">
        <f t="shared" si="1500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501"/>
        <v>445</v>
      </c>
      <c r="EYR34" s="211">
        <f t="shared" si="1502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503"/>
        <v>298</v>
      </c>
      <c r="EYZ34" s="873">
        <f t="shared" si="1504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505"/>
        <v>335</v>
      </c>
      <c r="EZH34" s="873">
        <f t="shared" si="1506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>
        <v>0</v>
      </c>
      <c r="EZO34" s="872">
        <f t="shared" si="1507"/>
        <v>255</v>
      </c>
      <c r="EZP34" s="873">
        <f t="shared" si="1508"/>
        <v>42.5</v>
      </c>
      <c r="EZQ34" s="458">
        <v>0</v>
      </c>
      <c r="EZR34" s="83"/>
      <c r="EZS34" s="83">
        <v>0</v>
      </c>
      <c r="EZT34" s="83">
        <v>0</v>
      </c>
      <c r="EZU34" s="83">
        <v>0</v>
      </c>
      <c r="EZV34" s="83">
        <v>0</v>
      </c>
      <c r="EZW34" s="872">
        <f t="shared" si="1509"/>
        <v>0</v>
      </c>
      <c r="EZX34" s="873">
        <f t="shared" si="1510"/>
        <v>0</v>
      </c>
      <c r="EZY34" s="195">
        <v>205</v>
      </c>
      <c r="EZZ34" s="49">
        <v>0</v>
      </c>
      <c r="FAA34" s="49"/>
      <c r="FAB34" s="49"/>
      <c r="FAC34" s="49"/>
      <c r="FAD34" s="49"/>
      <c r="FAE34" s="872">
        <f t="shared" si="1511"/>
        <v>205</v>
      </c>
      <c r="FAF34" s="873">
        <f t="shared" si="1512"/>
        <v>34.166666666666664</v>
      </c>
    </row>
    <row r="35" spans="1:4088" s="8" customFormat="1" ht="13.5" thickBot="1" x14ac:dyDescent="0.25">
      <c r="A35" s="21">
        <v>6</v>
      </c>
      <c r="B35" s="297" t="s">
        <v>44</v>
      </c>
      <c r="C35" s="725" t="s">
        <v>317</v>
      </c>
      <c r="D35" s="297">
        <v>25</v>
      </c>
      <c r="E35" s="24"/>
      <c r="F35" s="24">
        <v>241</v>
      </c>
      <c r="G35" s="24"/>
      <c r="H35" s="24"/>
      <c r="I35" s="24"/>
      <c r="J35" s="360">
        <f>SUMIF(SUMPK!$B:$B,$B:$B,SUMPK!$O:$O)</f>
        <v>241</v>
      </c>
      <c r="K35" s="24">
        <f t="shared" si="1226"/>
        <v>0</v>
      </c>
      <c r="L35" s="24">
        <f t="shared" si="1517"/>
        <v>0</v>
      </c>
      <c r="M35" s="15">
        <f t="shared" ref="M35:M48" si="1639">K35+L35</f>
        <v>0</v>
      </c>
      <c r="N35" s="15">
        <v>46.166666666666664</v>
      </c>
      <c r="O35" s="276">
        <f t="shared" si="1229"/>
        <v>0</v>
      </c>
      <c r="P35" s="712">
        <v>613.83333333333337</v>
      </c>
      <c r="Q35" s="276">
        <f t="shared" si="1518"/>
        <v>0</v>
      </c>
      <c r="R35" s="277">
        <f t="shared" si="1519"/>
        <v>169.23076923076923</v>
      </c>
      <c r="S35" s="222">
        <v>4400</v>
      </c>
      <c r="T35" s="276">
        <f t="shared" ref="T35:T51" si="1640">IF(R35=0,0,M35/R35)</f>
        <v>0</v>
      </c>
      <c r="U35" s="278"/>
      <c r="V35" s="276">
        <f t="shared" si="1233"/>
        <v>0</v>
      </c>
      <c r="W35" s="279">
        <f t="shared" si="1234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41">SUM(CCV35:CDA35)</f>
        <v>0</v>
      </c>
      <c r="CDC35" s="68">
        <f t="shared" ref="CDC35:CDC45" si="1642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43">SUM(CDD35:CDI35)</f>
        <v>498</v>
      </c>
      <c r="CDK35" s="68">
        <f t="shared" ref="CDK35:CDK45" si="1644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45">SUM(CDL35:CDQ35)</f>
        <v>0</v>
      </c>
      <c r="CDS35" s="68">
        <f t="shared" ref="CDS35:CDS45" si="1646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47">SUM(CDT35:CDY35)</f>
        <v>509</v>
      </c>
      <c r="CEA35" s="68">
        <f t="shared" ref="CEA35:CEA45" si="1648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49">SUM(CEB35:CEG35)</f>
        <v>400</v>
      </c>
      <c r="CEI35" s="68">
        <f t="shared" ref="CEI35:CEI45" si="1650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51">SUM(CEJ35:CEO35)</f>
        <v>727</v>
      </c>
      <c r="CEQ35" s="68">
        <f t="shared" ref="CEQ35:CEQ45" si="1652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53">SUM(CER35:CEW35)</f>
        <v>301</v>
      </c>
      <c r="CEY35" s="68">
        <f t="shared" ref="CEY35:CEY45" si="1654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55">SUM(CEZ35:CFE35)</f>
        <v>642</v>
      </c>
      <c r="CFG35" s="68">
        <f t="shared" ref="CFG35:CFG45" si="1656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57">SUM(CFH35:CFM35)</f>
        <v>0</v>
      </c>
      <c r="CFO35" s="68">
        <f t="shared" ref="CFO35:CFO45" si="1658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59">SUM(CFP35:CFU35)</f>
        <v>977</v>
      </c>
      <c r="CFW35" s="68">
        <f t="shared" ref="CFW35:CFW45" si="1660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61">SUM(CFX35:CGC35)</f>
        <v>0</v>
      </c>
      <c r="CGE35" s="68">
        <f t="shared" ref="CGE35:CGE45" si="1662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63">SUM(CGF35:CGK35)</f>
        <v>215</v>
      </c>
      <c r="CGM35" s="68">
        <f t="shared" ref="CGM35:CGM45" si="1664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65">SUM(CGN35:CGS35)</f>
        <v>1020</v>
      </c>
      <c r="CGU35" s="68">
        <f t="shared" ref="CGU35:CGU45" si="1666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67">SUM(CGV35:CHA35)</f>
        <v>604</v>
      </c>
      <c r="CHC35" s="68">
        <f t="shared" ref="CHC35:CHC45" si="1668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69">SUM(CHD35:CHI35)</f>
        <v>109</v>
      </c>
      <c r="CHK35" s="68">
        <f t="shared" ref="CHK35:CHK45" si="1670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71">SUM(CHL35:CHQ35)</f>
        <v>1626</v>
      </c>
      <c r="CHS35" s="68">
        <f t="shared" ref="CHS35:CHS45" si="1672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73">SUM(CHT35:CHY35)</f>
        <v>1340</v>
      </c>
      <c r="CIA35" s="68">
        <f t="shared" ref="CIA35:CIA45" si="1674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75">SUM(CIB35:CIG35)</f>
        <v>394</v>
      </c>
      <c r="CII35" s="68">
        <f t="shared" ref="CII35:CII45" si="1676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77">SUM(CIJ35:CIO35)</f>
        <v>211</v>
      </c>
      <c r="CIQ35" s="68">
        <f t="shared" ref="CIQ35:CIQ45" si="1678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79">SUM(CIR35:CIW35)</f>
        <v>1599</v>
      </c>
      <c r="CIY35" s="68">
        <f t="shared" ref="CIY35:CIY45" si="1680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81">SUM(CIZ35:CJE35)</f>
        <v>1199</v>
      </c>
      <c r="CJG35" s="68">
        <f t="shared" ref="CJG35:CJG45" si="1682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83">SUM(CJH35:CJM35)</f>
        <v>1892</v>
      </c>
      <c r="CJO35" s="184">
        <f t="shared" ref="CJO35:CJO45" si="1684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85">SUM(CJP35:CJU35)</f>
        <v>1269</v>
      </c>
      <c r="CJW35" s="68">
        <f t="shared" ref="CJW35:CJW45" si="1686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87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88">SUM(CKF35:CKK35)</f>
        <v>0</v>
      </c>
      <c r="CKM35" s="68">
        <f t="shared" ref="CKM35:CKM45" si="1689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90">SUM(CKN35:CKS35)</f>
        <v>1195</v>
      </c>
      <c r="CKU35" s="68">
        <f t="shared" ref="CKU35:CKU45" si="1691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92">SUM(CKV35:CLA35)</f>
        <v>2593</v>
      </c>
      <c r="CLC35" s="68">
        <f t="shared" ref="CLC35:CLC45" si="1693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94">SUM(CLD35:CLI35)</f>
        <v>0</v>
      </c>
      <c r="CLK35" s="68">
        <f t="shared" ref="CLK35:CLK45" si="1695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96">SUM(CLL35:CLQ35)</f>
        <v>440</v>
      </c>
      <c r="CLS35" s="68">
        <f t="shared" ref="CLS35:CLS45" si="1697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98">SUM(CLT35:CLY35)</f>
        <v>1561</v>
      </c>
      <c r="CMA35" s="68">
        <f t="shared" ref="CMA35:CMA45" si="1699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700">SUM(CMB35:CMG35)</f>
        <v>0</v>
      </c>
      <c r="CMI35" s="68">
        <f t="shared" ref="CMI35:CMI45" si="1701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702">SUM(CMJ35:CMO35)</f>
        <v>1159</v>
      </c>
      <c r="CMQ35" s="68">
        <f t="shared" ref="CMQ35:CMQ45" si="1703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704">SUM(CMR35:CMW35)</f>
        <v>866</v>
      </c>
      <c r="CMY35" s="68">
        <f t="shared" ref="CMY35:CMY45" si="1705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706">SUM(CMZ35:CNE35)</f>
        <v>1471</v>
      </c>
      <c r="CNG35" s="68">
        <f t="shared" ref="CNG35:CNG45" si="1707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708">SUM(CNH35:CNM35)</f>
        <v>647</v>
      </c>
      <c r="CNO35" s="68">
        <f t="shared" ref="CNO35:CNO45" si="1709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710">SUM(CNP35:CNU35)</f>
        <v>1328</v>
      </c>
      <c r="CNW35" s="68">
        <f t="shared" ref="CNW35:CNW45" si="1711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12">SUM(CNX35:COC35)</f>
        <v>655</v>
      </c>
      <c r="COE35" s="68">
        <f t="shared" ref="COE35:COE45" si="1713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61" si="1714">SUM(COF35:COK35)</f>
        <v>660</v>
      </c>
      <c r="COM35" s="68">
        <f t="shared" ref="COM35:COM61" si="1715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61" si="1716">SUM(CON35:COS35)</f>
        <v>0</v>
      </c>
      <c r="COU35" s="68">
        <f t="shared" ref="COU35:COU61" si="1717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61" si="1718">SUM(COV35:CPA35)</f>
        <v>1648</v>
      </c>
      <c r="CPC35" s="68">
        <f t="shared" ref="CPC35:CPC61" si="1719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61" si="1720">SUM(CPD35:CPI35)</f>
        <v>654</v>
      </c>
      <c r="CPK35" s="68">
        <f t="shared" ref="CPK35:CPK61" si="1721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61" si="1722">SUM(CPL35:CPQ35)</f>
        <v>0</v>
      </c>
      <c r="CPS35" s="68">
        <f t="shared" ref="CPS35:CPS61" si="1723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61" si="1724">SUM(CPT35:CPY35)</f>
        <v>1226</v>
      </c>
      <c r="CQA35" s="68">
        <f t="shared" ref="CQA35:CQA61" si="1725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61" si="1726">SUM(CQB35:CQG35)</f>
        <v>1147</v>
      </c>
      <c r="CQI35" s="68">
        <f t="shared" ref="CQI35:CQI61" si="1727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61" si="1728">SUM(CQJ35:CQO35)</f>
        <v>475</v>
      </c>
      <c r="CQQ35" s="68">
        <f t="shared" ref="CQQ35:CQQ61" si="1729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61" si="1730">SUM(CQR35:CQW35)</f>
        <v>0</v>
      </c>
      <c r="CQY35" s="68">
        <f t="shared" ref="CQY35:CQY61" si="1731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61" si="1732">SUM(CQZ35:CRE35)</f>
        <v>394</v>
      </c>
      <c r="CRG35" s="68">
        <f t="shared" ref="CRG35:CRG61" si="1733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61" si="1734">SUM(CRH35:CRM35)</f>
        <v>440</v>
      </c>
      <c r="CRO35" s="68">
        <f t="shared" ref="CRO35:CRO61" si="1735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61" si="1736">SUM(CRP35:CRU35)</f>
        <v>1319</v>
      </c>
      <c r="CRW35" s="68">
        <f t="shared" ref="CRW35:CRW61" si="1737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61" si="1738">SUM(CRX35:CSC35)</f>
        <v>650</v>
      </c>
      <c r="CSE35" s="68">
        <f t="shared" ref="CSE35:CSE61" si="1739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241</v>
      </c>
      <c r="CSL35" s="64">
        <f t="shared" ref="CSL35:CSL61" si="1740">SUM(CSF35:CSK35)</f>
        <v>681</v>
      </c>
      <c r="CSM35" s="68">
        <f t="shared" ref="CSM35:CSM61" si="1741">CSL35/$CSM$5</f>
        <v>113.5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61" si="1742">SUM(CSN35:CSS35)</f>
        <v>998</v>
      </c>
      <c r="CSU35" s="68">
        <f t="shared" ref="CSU35:CSU61" si="1743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61" si="1744">SUM(CSV35:CTA35)</f>
        <v>853</v>
      </c>
      <c r="CTC35" s="68">
        <f t="shared" ref="CTC35:CTC61" si="1745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61" si="1746">SUM(CTD35:CTI35)</f>
        <v>434</v>
      </c>
      <c r="CTK35" s="68">
        <f t="shared" ref="CTK35:CTK61" si="1747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61" si="1748">SUM(CTL35:CTQ35)</f>
        <v>440</v>
      </c>
      <c r="CTS35" s="68">
        <f t="shared" ref="CTS35:CTS61" si="1749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61" si="1750">SUM(CTT35:CTY35)</f>
        <v>1144</v>
      </c>
      <c r="CUA35" s="68">
        <f t="shared" ref="CUA35:CUA61" si="1751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61" si="1752">SUM(CUB35:CUG35)</f>
        <v>562</v>
      </c>
      <c r="CUI35" s="68">
        <f t="shared" ref="CUI35:CUI61" si="1753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61" si="1754">SUM(CUJ35:CUO35)</f>
        <v>209</v>
      </c>
      <c r="CUQ35" s="68">
        <f t="shared" ref="CUQ35:CUQ61" si="1755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61" si="1756">SUM(CUR35:CUW35)</f>
        <v>1060</v>
      </c>
      <c r="CUY35" s="68">
        <f t="shared" ref="CUY35:CUY61" si="1757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61" si="1758">SUM(CUZ35:CVE35)</f>
        <v>468</v>
      </c>
      <c r="CVG35" s="68">
        <f t="shared" ref="CVG35:CVG61" si="1759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61" si="1760">SUM(CVH35:CVM35)</f>
        <v>653</v>
      </c>
      <c r="CVO35" s="68">
        <f t="shared" ref="CVO35:CVO61" si="1761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61" si="1762">SUM(CVP35:CVU35)</f>
        <v>895</v>
      </c>
      <c r="CVW35" s="68">
        <f t="shared" ref="CVW35:CVW61" si="1763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61" si="1764">SUM(CVX35:CWC35)</f>
        <v>490</v>
      </c>
      <c r="CWE35" s="68">
        <f t="shared" ref="CWE35:CWE61" si="1765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61" si="1766">SUM(CWF35:CWK35)</f>
        <v>1191</v>
      </c>
      <c r="CWM35" s="68">
        <f t="shared" ref="CWM35:CWM61" si="1767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61" si="1768">SUM(CWN35:CWS35)</f>
        <v>578</v>
      </c>
      <c r="CWU35" s="68">
        <f t="shared" ref="CWU35:CWU61" si="1769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61" si="1770">SUM(CWV35:CXA35)</f>
        <v>677</v>
      </c>
      <c r="CXC35" s="43">
        <f t="shared" ref="CXC35:CXC61" si="1771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61" si="1772">SUM(CXD35:CXI35)</f>
        <v>640</v>
      </c>
      <c r="CXK35" s="43">
        <f t="shared" ref="CXK35:CXK61" si="1773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61" si="1774">SUM(CXL35:CXQ35)</f>
        <v>702</v>
      </c>
      <c r="CXS35" s="43">
        <f t="shared" ref="CXS35:CXS61" si="1775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61" si="1776">SUM(CXT35:CXY35)</f>
        <v>0</v>
      </c>
      <c r="CYA35" s="43">
        <f t="shared" ref="CYA35:CYA61" si="1777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61" si="1778">SUM(CYB35:CYG35)</f>
        <v>618</v>
      </c>
      <c r="CYI35" s="43">
        <f t="shared" ref="CYI35:CYI61" si="1779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61" si="1780">SUM(CYJ35:CYO35)</f>
        <v>509</v>
      </c>
      <c r="CYQ35" s="43">
        <f t="shared" ref="CYQ35:CYQ61" si="1781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61" si="1782">SUM(CYR35:CYW35)</f>
        <v>626</v>
      </c>
      <c r="CYY35" s="43">
        <f t="shared" ref="CYY35:CYY61" si="1783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61" si="1784">SUM(CYZ35:CZE35)</f>
        <v>860</v>
      </c>
      <c r="CZG35" s="43">
        <f t="shared" ref="CZG35:CZG61" si="1785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61" si="1786">SUM(CZH35:CZM35)</f>
        <v>1061</v>
      </c>
      <c r="CZO35" s="43">
        <f t="shared" ref="CZO35:CZO61" si="1787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61" si="1788">SUM(CZP35:CZU35)</f>
        <v>1668</v>
      </c>
      <c r="CZW35" s="43">
        <f t="shared" ref="CZW35:CZW61" si="1789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61" si="1790">SUM(CZX35:DAC35)</f>
        <v>149</v>
      </c>
      <c r="DAE35" s="68">
        <f t="shared" ref="DAE35:DAE61" si="1791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61" si="1792">SUM(DAF35:DAK35)</f>
        <v>660</v>
      </c>
      <c r="DAM35" s="68">
        <f t="shared" ref="DAM35:DAM61" si="1793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61" si="1794">SUM(DAN35:DAS35)</f>
        <v>0</v>
      </c>
      <c r="DAU35" s="68">
        <f t="shared" ref="DAU35:DAU61" si="1795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61" si="1796">SUM(DAV35:DBA35)</f>
        <v>1198</v>
      </c>
      <c r="DBC35" s="68">
        <f t="shared" ref="DBC35:DBC61" si="1797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61" si="1798">SUM(DBD35:DBI35)</f>
        <v>0</v>
      </c>
      <c r="DBK35" s="68">
        <f t="shared" ref="DBK35:DBK61" si="1799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61" si="1800">SUM(DBL35:DBQ35)</f>
        <v>1942</v>
      </c>
      <c r="DBS35" s="68">
        <f t="shared" ref="DBS35:DBS61" si="1801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61" si="1802">SUM(DBT35:DBY35)</f>
        <v>330</v>
      </c>
      <c r="DCA35" s="68">
        <f t="shared" ref="DCA35:DCA61" si="1803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61" si="1804">SUM(DCB35:DCG35)</f>
        <v>1882</v>
      </c>
      <c r="DCI35" s="68">
        <f t="shared" ref="DCI35:DCI61" si="1805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61" si="1806">SUM(DCJ35:DCO35)</f>
        <v>710</v>
      </c>
      <c r="DCQ35" s="68">
        <f t="shared" ref="DCQ35:DCQ61" si="1807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61" si="1808">SUM(DCR35:DCW35)</f>
        <v>766</v>
      </c>
      <c r="DCY35" s="68">
        <f t="shared" ref="DCY35:DCY61" si="1809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61" si="1810">SUM(DCZ35:DDE35)</f>
        <v>1666</v>
      </c>
      <c r="DDG35" s="68">
        <f t="shared" ref="DDG35:DDG61" si="1811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61" si="1812">SUM(DDH35:DDM35)</f>
        <v>639</v>
      </c>
      <c r="DDO35" s="43">
        <f t="shared" ref="DDO35:DDO61" si="1813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61" si="1814">SUM(DDP35:DDU35)</f>
        <v>0</v>
      </c>
      <c r="DDW35" s="43">
        <f t="shared" ref="DDW35:DDW61" si="1815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61" si="1816">SUM(DDX35:DEC35)</f>
        <v>0</v>
      </c>
      <c r="DEE35" s="43">
        <f t="shared" ref="DEE35:DEE61" si="1817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241</v>
      </c>
      <c r="DEL35" s="127">
        <f t="shared" ref="DEL35:DEL61" si="1818">SUM(DEF35:DEK35)</f>
        <v>241</v>
      </c>
      <c r="DEM35" s="43">
        <f t="shared" ref="DEM35:DEM61" si="1819">DEL35/$DEM$5</f>
        <v>40.166666666666664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61" si="1820">SUM(DEN35:DES35)</f>
        <v>0</v>
      </c>
      <c r="DEU35" s="43">
        <f t="shared" ref="DEU35:DEU61" si="1821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61" si="1822">SUM(DEV35:DFA35)</f>
        <v>550</v>
      </c>
      <c r="DFC35" s="43">
        <f t="shared" ref="DFC35:DFC61" si="1823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61" si="1824">SUM(DFD35:DFI35)</f>
        <v>749</v>
      </c>
      <c r="DFK35" s="43">
        <f t="shared" ref="DFK35:DFK61" si="1825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61" si="1826">SUM(DFL35:DFQ35)</f>
        <v>220</v>
      </c>
      <c r="DFS35" s="68">
        <f t="shared" ref="DFS35:DFS61" si="1827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61" si="1828">SUM(DFT35:DFY35)</f>
        <v>440</v>
      </c>
      <c r="DGA35" s="43">
        <f t="shared" ref="DGA35:DGA61" si="1829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61" si="1830">SUM(DGB35:DGG35)</f>
        <v>388</v>
      </c>
      <c r="DGI35" s="43">
        <f t="shared" ref="DGI35:DGI61" si="1831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61" si="1832">SUM(DGJ35:DGO35)</f>
        <v>620</v>
      </c>
      <c r="DGQ35" s="68">
        <f t="shared" ref="DGQ35:DGQ61" si="1833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61" si="1834">SUM(DGR35:DGW35)</f>
        <v>793</v>
      </c>
      <c r="DGY35" s="68">
        <f t="shared" ref="DGY35:DGY61" si="1835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61" si="1836">SUM(DGZ35:DHE35)</f>
        <v>1064</v>
      </c>
      <c r="DHG35" s="68">
        <f t="shared" ref="DHG35:DHG61" si="1837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61" si="1838">SUM(DHH35:DHM35)</f>
        <v>990</v>
      </c>
      <c r="DHO35" s="68">
        <f t="shared" ref="DHO35:DHO61" si="1839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61" si="1840">SUM(DHP35:DHU35)</f>
        <v>1169</v>
      </c>
      <c r="DHW35" s="68">
        <f t="shared" ref="DHW35:DHW61" si="1841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61" si="1842">SUM(DHX35:DIC35)</f>
        <v>220</v>
      </c>
      <c r="DIE35" s="68">
        <f t="shared" ref="DIE35:DIE61" si="1843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61" si="1844">SUM(DIF35:DIK35)</f>
        <v>330</v>
      </c>
      <c r="DIM35" s="68">
        <f t="shared" ref="DIM35:DIM61" si="1845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61" si="1846">SUM(DIN35:DIS35)</f>
        <v>109</v>
      </c>
      <c r="DIU35" s="68">
        <f t="shared" ref="DIU35:DIU61" si="1847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61" si="1848">SUM(DIV35:DJA35)</f>
        <v>0</v>
      </c>
      <c r="DJC35" s="68">
        <f t="shared" ref="DJC35:DJC61" si="1849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61" si="1850">SUM(DJD35:DJI35)</f>
        <v>321</v>
      </c>
      <c r="DJK35" s="68">
        <f t="shared" ref="DJK35:DJK61" si="1851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61" si="1852">SUM(DJL35:DJQ35)</f>
        <v>1058</v>
      </c>
      <c r="DJS35" s="68">
        <f t="shared" ref="DJS35:DJS61" si="1853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61" si="1854">SUM(DJT35:DJY35)</f>
        <v>649</v>
      </c>
      <c r="DKA35" s="68">
        <f t="shared" ref="DKA35:DKA61" si="1855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61" si="1856">SUM(DKB35:DKG35)</f>
        <v>104</v>
      </c>
      <c r="DKI35" s="68">
        <f t="shared" ref="DKI35:DKI61" si="1857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61" si="1858">SUM(DKJ35:DKO35)</f>
        <v>480</v>
      </c>
      <c r="DKQ35" s="68">
        <f t="shared" ref="DKQ35:DKQ61" si="1859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61" si="1860">SUM(DKR35:DKW35)</f>
        <v>660</v>
      </c>
      <c r="DKY35" s="68">
        <f t="shared" ref="DKY35:DKY61" si="1861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61" si="1862">SUM(DKZ35:DLE35)</f>
        <v>1014</v>
      </c>
      <c r="DLG35" s="68">
        <f t="shared" ref="DLG35:DLG61" si="1863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61" si="1864">SUM(DLH35:DLM35)</f>
        <v>708</v>
      </c>
      <c r="DLO35" s="68">
        <f t="shared" ref="DLO35:DLO61" si="1865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61" si="1866">SUM(DLP35:DLU35)</f>
        <v>380</v>
      </c>
      <c r="DLW35" s="68">
        <f t="shared" ref="DLW35:DLW61" si="1867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61" si="1868">SUM(DLX35:DMC35)</f>
        <v>0</v>
      </c>
      <c r="DME35" s="68">
        <f t="shared" ref="DME35:DME61" si="1869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61" si="1870">SUM(DMF35:DMK35)</f>
        <v>100</v>
      </c>
      <c r="DMM35" s="68">
        <f t="shared" ref="DMM35:DMM61" si="1871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61" si="1872">SUM(DMN35:DMS35)</f>
        <v>0</v>
      </c>
      <c r="DMU35" s="68">
        <f t="shared" ref="DMU35:DMU61" si="1873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61" si="1874">SUM(DMV35:DNA35)</f>
        <v>709</v>
      </c>
      <c r="DNC35" s="68">
        <f t="shared" ref="DNC35:DNC61" si="1875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61" si="1876">SUM(DND35:DNI35)</f>
        <v>619</v>
      </c>
      <c r="DNK35" s="68">
        <f t="shared" ref="DNK35:DNK61" si="1877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61" si="1878">SUM(DNL35:DNQ35)</f>
        <v>865</v>
      </c>
      <c r="DNS35" s="68">
        <f t="shared" ref="DNS35:DNS61" si="1879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61" si="1880">SUM(DNT35:DNY35)</f>
        <v>1200</v>
      </c>
      <c r="DOA35" s="68">
        <f t="shared" ref="DOA35:DOA61" si="1881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61" si="1882">SUM(DOB35:DOG35)</f>
        <v>800</v>
      </c>
      <c r="DOI35" s="68">
        <f t="shared" ref="DOI35:DOI61" si="1883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61" si="1884">SUM(DOJ35:DOO35)</f>
        <v>1583</v>
      </c>
      <c r="DOQ35" s="68">
        <f t="shared" ref="DOQ35:DOQ61" si="1885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61" si="1886">SUM(DOR35:DOW35)</f>
        <v>0</v>
      </c>
      <c r="DOY35" s="68">
        <f t="shared" ref="DOY35:DOY61" si="1887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61" si="1888">SUM(DOZ35:DPE35)</f>
        <v>680</v>
      </c>
      <c r="DPG35" s="68">
        <f t="shared" ref="DPG35:DPG61" si="1889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61" si="1890">SUM(DPH35:DPM35)</f>
        <v>180</v>
      </c>
      <c r="DPO35" s="68">
        <f t="shared" ref="DPO35:DPO61" si="1891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61" si="1892">SUM(DPP35:DPU35)</f>
        <v>217</v>
      </c>
      <c r="DPW35" s="492">
        <f t="shared" ref="DPW35:DPW61" si="1893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61" si="1894">SUM(DPX35:DQC35)</f>
        <v>2485</v>
      </c>
      <c r="DQE35" s="492">
        <f t="shared" ref="DQE35:DQE61" si="1895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61" si="1896">SUM(DQF35:DQK35)</f>
        <v>0</v>
      </c>
      <c r="DQM35" s="492">
        <f t="shared" ref="DQM35:DQM61" si="1897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61" si="1898">SUM(DQN35:DQS35)</f>
        <v>450</v>
      </c>
      <c r="DQU35" s="68">
        <f t="shared" ref="DQU35:DQU61" si="1899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61" si="1900">SUM(DQV35:DRA35)</f>
        <v>879</v>
      </c>
      <c r="DRC35" s="492">
        <f t="shared" ref="DRC35:DRC61" si="1901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61" si="1902">SUM(DRD35:DRI35)</f>
        <v>0</v>
      </c>
      <c r="DRK35" s="492">
        <f t="shared" ref="DRK35:DRK61" si="1903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99"/>
        <v>780</v>
      </c>
      <c r="DRS35" s="68">
        <f t="shared" si="1600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601"/>
        <v>0</v>
      </c>
      <c r="DSA35" s="68">
        <f t="shared" si="1602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603"/>
        <v>334</v>
      </c>
      <c r="DSI35" s="68">
        <f t="shared" si="1604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605"/>
        <v>2009</v>
      </c>
      <c r="DSQ35" s="68">
        <f t="shared" si="1606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607"/>
        <v>2502</v>
      </c>
      <c r="DSY35" s="68">
        <f t="shared" si="1608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609"/>
        <v>1985</v>
      </c>
      <c r="DTG35" s="68">
        <f t="shared" si="1610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611"/>
        <v>797</v>
      </c>
      <c r="DTO35" s="68">
        <f t="shared" si="1612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13"/>
        <v>2469</v>
      </c>
      <c r="DTW35" s="68">
        <f t="shared" si="1614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15"/>
        <v>1263</v>
      </c>
      <c r="DUE35" s="68">
        <f t="shared" si="1616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17"/>
        <v>2283</v>
      </c>
      <c r="DUM35" s="68">
        <f t="shared" si="1618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19"/>
        <v>2688</v>
      </c>
      <c r="DUU35" s="68">
        <f t="shared" si="1620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21"/>
        <v>3440</v>
      </c>
      <c r="DVC35" s="68">
        <f t="shared" si="1622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23"/>
        <v>2574</v>
      </c>
      <c r="DVK35" s="68">
        <f t="shared" si="1624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25"/>
        <v>1578</v>
      </c>
      <c r="DVS35" s="68">
        <f t="shared" si="1626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27"/>
        <v>2921</v>
      </c>
      <c r="DWA35" s="68">
        <f t="shared" si="1628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29"/>
        <v>2521</v>
      </c>
      <c r="DWI35" s="68">
        <f t="shared" si="1630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31"/>
        <v>1505</v>
      </c>
      <c r="DWQ35" s="68">
        <f t="shared" si="1632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33"/>
        <v>3683</v>
      </c>
      <c r="DWY35" s="68">
        <f t="shared" si="1634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35"/>
        <v>1320</v>
      </c>
      <c r="DXG35" s="68">
        <f t="shared" si="1636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37"/>
        <v>1272</v>
      </c>
      <c r="DXO35" s="68">
        <f t="shared" si="1638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8"/>
        <v>478</v>
      </c>
      <c r="DXW35" s="68">
        <f t="shared" si="1329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30"/>
        <v>2640</v>
      </c>
      <c r="DYE35" s="68">
        <f t="shared" si="1331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32"/>
        <v>810</v>
      </c>
      <c r="DYM35" s="68">
        <f t="shared" si="1333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34"/>
        <v>2582</v>
      </c>
      <c r="DYU35" s="68">
        <f t="shared" si="1335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36"/>
        <v>2014</v>
      </c>
      <c r="DZC35" s="68">
        <f t="shared" si="1337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8"/>
        <v>821</v>
      </c>
      <c r="DZK35" s="68">
        <f t="shared" si="1339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40"/>
        <v>2000</v>
      </c>
      <c r="DZS35" s="68">
        <f t="shared" si="1341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42"/>
        <v>628</v>
      </c>
      <c r="EAA35" s="68">
        <f t="shared" si="1343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44"/>
        <v>3467</v>
      </c>
      <c r="EAI35" s="68">
        <f t="shared" si="1345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46"/>
        <v>546</v>
      </c>
      <c r="EAQ35" s="68">
        <f t="shared" si="1347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8"/>
        <v>1897</v>
      </c>
      <c r="EAY35" s="68">
        <f t="shared" si="1349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50"/>
        <v>0</v>
      </c>
      <c r="EBG35" s="68">
        <f t="shared" si="1351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52"/>
        <v>1338</v>
      </c>
      <c r="EBO35" s="68">
        <f t="shared" si="1353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54"/>
        <v>0</v>
      </c>
      <c r="EBW35" s="68">
        <f t="shared" si="1355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56"/>
        <v>1319</v>
      </c>
      <c r="ECE35" s="68">
        <f t="shared" si="1357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8"/>
        <v>347</v>
      </c>
      <c r="ECM35" s="68">
        <f t="shared" si="1359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60"/>
        <v>412</v>
      </c>
      <c r="ECU35" s="68">
        <f t="shared" si="1361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62"/>
        <v>820</v>
      </c>
      <c r="EDC35" s="68">
        <f t="shared" si="1363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64"/>
        <v>1320</v>
      </c>
      <c r="EDK35" s="68">
        <f t="shared" si="1365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66"/>
        <v>0</v>
      </c>
      <c r="EDS35" s="68">
        <f t="shared" si="1367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8"/>
        <v>729</v>
      </c>
      <c r="EEA35" s="68">
        <f t="shared" si="1369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70"/>
        <v>1320</v>
      </c>
      <c r="EEI35" s="68">
        <f t="shared" si="1371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72"/>
        <v>265</v>
      </c>
      <c r="EEQ35" s="68">
        <f t="shared" si="1373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74"/>
        <v>1356</v>
      </c>
      <c r="EEY35" s="68">
        <f t="shared" si="1375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6"/>
        <v>0</v>
      </c>
      <c r="EFG35" s="68">
        <f t="shared" si="1377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8"/>
        <v>2204</v>
      </c>
      <c r="EFO35" s="68">
        <f t="shared" si="1379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80"/>
        <v>0</v>
      </c>
      <c r="EFW35" s="68">
        <f t="shared" si="1381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82"/>
        <v>1171</v>
      </c>
      <c r="EGE35" s="68">
        <f t="shared" si="1383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84"/>
        <v>0</v>
      </c>
      <c r="EGM35" s="68">
        <f t="shared" si="1385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86"/>
        <v>504</v>
      </c>
      <c r="EGU35" s="68">
        <f t="shared" si="1387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8"/>
        <v>0</v>
      </c>
      <c r="EHC35" s="68">
        <f t="shared" si="1389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90"/>
        <v>0</v>
      </c>
      <c r="EHK35" s="68">
        <f t="shared" si="1391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92"/>
        <v>0</v>
      </c>
      <c r="EHS35" s="68">
        <f t="shared" si="1393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94"/>
        <v>0</v>
      </c>
      <c r="EIA35" s="68">
        <f t="shared" si="1395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96"/>
        <v>908</v>
      </c>
      <c r="EII35" s="68">
        <f t="shared" si="1397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8"/>
        <v>0</v>
      </c>
      <c r="EIQ35" s="68">
        <f t="shared" si="1399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400"/>
        <v>0</v>
      </c>
      <c r="EIY35" s="68">
        <f t="shared" si="1401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402"/>
        <v>0</v>
      </c>
      <c r="EJG35" s="68">
        <f t="shared" si="1403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404"/>
        <v>0</v>
      </c>
      <c r="EJO35" s="68">
        <f t="shared" si="1405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406"/>
        <v>0</v>
      </c>
      <c r="EJW35" s="68">
        <f t="shared" si="1407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8"/>
        <v>0</v>
      </c>
      <c r="EKE35" s="68">
        <f t="shared" si="1409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10"/>
        <v>0</v>
      </c>
      <c r="EKM35" s="68">
        <f t="shared" si="1411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12"/>
        <v>0</v>
      </c>
      <c r="EKU35" s="184">
        <f t="shared" si="1413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14"/>
        <v>237</v>
      </c>
      <c r="ELD35" s="211">
        <f t="shared" si="1415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16"/>
        <v>721</v>
      </c>
      <c r="ELL35" s="211">
        <f t="shared" si="1417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8"/>
        <v>250</v>
      </c>
      <c r="ELT35" s="211">
        <f t="shared" si="1419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20"/>
        <v>298</v>
      </c>
      <c r="EMB35" s="211">
        <f t="shared" si="1421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22"/>
        <v>896</v>
      </c>
      <c r="EMJ35" s="211">
        <f t="shared" si="1423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24"/>
        <v>1466</v>
      </c>
      <c r="EMR35" s="211">
        <f t="shared" si="1425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26"/>
        <v>335</v>
      </c>
      <c r="EMZ35" s="211">
        <f t="shared" si="1427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8"/>
        <v>0</v>
      </c>
      <c r="ENH35" s="211">
        <f t="shared" si="1429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30"/>
        <v>0</v>
      </c>
      <c r="ENP35" s="211">
        <f t="shared" si="1431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32"/>
        <v>0</v>
      </c>
      <c r="ENX35" s="211">
        <f t="shared" si="1433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4"/>
        <v>0</v>
      </c>
      <c r="EOF35" s="211">
        <f t="shared" si="1435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36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37"/>
        <v>823</v>
      </c>
      <c r="EOV35" s="211">
        <f t="shared" si="1438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9"/>
        <v>0</v>
      </c>
      <c r="EPD35" s="211">
        <f t="shared" si="1440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41"/>
        <v>885</v>
      </c>
      <c r="EPL35" s="211">
        <f t="shared" si="1442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43"/>
        <v>0</v>
      </c>
      <c r="EPT35" s="211">
        <f t="shared" si="1444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241</v>
      </c>
      <c r="EPZ35" s="49">
        <v>656</v>
      </c>
      <c r="EQA35" s="64">
        <f t="shared" si="1445"/>
        <v>2974</v>
      </c>
      <c r="EQB35" s="211">
        <f t="shared" si="1446"/>
        <v>495.66666666666669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47"/>
        <v>870</v>
      </c>
      <c r="EQJ35" s="211">
        <f t="shared" si="1448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9"/>
        <v>0</v>
      </c>
      <c r="EQR35" s="211">
        <f t="shared" si="1450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51"/>
        <v>1317</v>
      </c>
      <c r="EQZ35" s="211">
        <f t="shared" si="1452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53"/>
        <v>1057</v>
      </c>
      <c r="ERH35" s="211">
        <f t="shared" si="1454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55"/>
        <v>0</v>
      </c>
      <c r="ERP35" s="211">
        <f t="shared" si="1456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7"/>
        <v>0</v>
      </c>
      <c r="ERX35" s="211">
        <f t="shared" si="1458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9"/>
        <v>0</v>
      </c>
      <c r="ESF35" s="211">
        <f t="shared" si="1460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61"/>
        <v>790</v>
      </c>
      <c r="ESN35" s="211">
        <f t="shared" si="1462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63"/>
        <v>0</v>
      </c>
      <c r="ESV35" s="211">
        <f t="shared" si="1464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5"/>
        <v>0</v>
      </c>
      <c r="ETD35" s="211">
        <f t="shared" si="1466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67"/>
        <v>0</v>
      </c>
      <c r="ETL35" s="211">
        <f t="shared" si="1468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9"/>
        <v>0</v>
      </c>
      <c r="ETT35" s="211">
        <f t="shared" si="1470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71"/>
        <v>0</v>
      </c>
      <c r="EUB35" s="211">
        <f t="shared" si="1472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73"/>
        <v>0</v>
      </c>
      <c r="EUJ35" s="211">
        <f t="shared" si="1474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5"/>
        <v>0</v>
      </c>
      <c r="EUR35" s="211">
        <f t="shared" si="1476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7"/>
        <v>0</v>
      </c>
      <c r="EUZ35" s="211">
        <f t="shared" si="1478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9"/>
        <v>0</v>
      </c>
      <c r="EVH35" s="211">
        <f t="shared" si="1480"/>
        <v>0</v>
      </c>
      <c r="EVI35" s="195">
        <v>0</v>
      </c>
      <c r="EVJ35" s="49">
        <v>0</v>
      </c>
      <c r="EVK35" s="49">
        <f>SUMIF(SUMPK!$B:$B,$B:$B,SUMPK!$O:$O)</f>
        <v>241</v>
      </c>
      <c r="EVL35" s="49"/>
      <c r="EVM35" s="49"/>
      <c r="EVN35" s="49">
        <v>0</v>
      </c>
      <c r="EVO35" s="808">
        <f t="shared" si="1481"/>
        <v>241</v>
      </c>
      <c r="EVP35" s="211">
        <f t="shared" si="1482"/>
        <v>40.166666666666664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83"/>
        <v>0</v>
      </c>
      <c r="EVX35" s="211">
        <f t="shared" si="1484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85"/>
        <v>0</v>
      </c>
      <c r="EWF35" s="211">
        <f t="shared" si="1486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7"/>
        <v>0</v>
      </c>
      <c r="EWN35" s="211">
        <f t="shared" si="1488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9"/>
        <v>121</v>
      </c>
      <c r="EWV35" s="211">
        <f t="shared" si="1490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91"/>
        <v>0</v>
      </c>
      <c r="EXD35" s="211">
        <f t="shared" si="1492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93"/>
        <v>422</v>
      </c>
      <c r="EXL35" s="211">
        <f t="shared" si="1494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95"/>
        <v>0</v>
      </c>
      <c r="EXT35" s="211">
        <f t="shared" si="1496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97"/>
        <v>0</v>
      </c>
      <c r="EYB35" s="211">
        <f t="shared" si="1498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9"/>
        <v>0</v>
      </c>
      <c r="EYJ35" s="211">
        <f t="shared" si="1500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501"/>
        <v>197</v>
      </c>
      <c r="EYR35" s="211">
        <f t="shared" si="1502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503"/>
        <v>70</v>
      </c>
      <c r="EYZ35" s="873">
        <f t="shared" si="1504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5"/>
        <v>434</v>
      </c>
      <c r="EZH35" s="873">
        <f t="shared" si="1506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>
        <v>315</v>
      </c>
      <c r="EZO35" s="872">
        <f t="shared" si="1507"/>
        <v>586</v>
      </c>
      <c r="EZP35" s="873">
        <f t="shared" si="1508"/>
        <v>97.666666666666671</v>
      </c>
      <c r="EZQ35" s="458">
        <v>0</v>
      </c>
      <c r="EZR35" s="83"/>
      <c r="EZS35" s="83">
        <v>0</v>
      </c>
      <c r="EZT35" s="83">
        <v>0</v>
      </c>
      <c r="EZU35" s="83">
        <v>0</v>
      </c>
      <c r="EZV35" s="83">
        <v>277</v>
      </c>
      <c r="EZW35" s="872">
        <f t="shared" si="1509"/>
        <v>277</v>
      </c>
      <c r="EZX35" s="873">
        <f t="shared" si="1510"/>
        <v>46.166666666666664</v>
      </c>
      <c r="EZY35" s="195">
        <v>0</v>
      </c>
      <c r="EZZ35" s="49">
        <v>0</v>
      </c>
      <c r="FAA35" s="49"/>
      <c r="FAB35" s="49"/>
      <c r="FAC35" s="49"/>
      <c r="FAD35" s="49"/>
      <c r="FAE35" s="872">
        <f t="shared" si="1511"/>
        <v>0</v>
      </c>
      <c r="FAF35" s="873">
        <f t="shared" si="1512"/>
        <v>0</v>
      </c>
    </row>
    <row r="36" spans="1:4088" s="8" customFormat="1" ht="13.5" thickBot="1" x14ac:dyDescent="0.25">
      <c r="A36" s="21">
        <v>7</v>
      </c>
      <c r="B36" s="297" t="s">
        <v>33</v>
      </c>
      <c r="C36" s="725" t="s">
        <v>318</v>
      </c>
      <c r="D36" s="297">
        <v>25</v>
      </c>
      <c r="E36" s="24"/>
      <c r="F36" s="24">
        <v>508</v>
      </c>
      <c r="G36" s="24"/>
      <c r="H36" s="24"/>
      <c r="I36" s="24"/>
      <c r="J36" s="360">
        <f>SUMIF(SUMPK!$B:$B,$B:$B,SUMPK!$O:$O)</f>
        <v>398</v>
      </c>
      <c r="K36" s="24">
        <f t="shared" si="1226"/>
        <v>0</v>
      </c>
      <c r="L36" s="24">
        <f t="shared" si="1517"/>
        <v>110</v>
      </c>
      <c r="M36" s="15">
        <f t="shared" si="1639"/>
        <v>110</v>
      </c>
      <c r="N36" s="15">
        <v>198.33333333333334</v>
      </c>
      <c r="O36" s="276">
        <f t="shared" si="1229"/>
        <v>0.55462184873949583</v>
      </c>
      <c r="P36" s="712">
        <v>55.166666666666664</v>
      </c>
      <c r="Q36" s="276">
        <f t="shared" si="1518"/>
        <v>11.963746223564955</v>
      </c>
      <c r="R36" s="277">
        <f t="shared" si="1519"/>
        <v>92.307692307692307</v>
      </c>
      <c r="S36" s="222">
        <v>2400</v>
      </c>
      <c r="T36" s="276">
        <f t="shared" si="1640"/>
        <v>1.1916666666666667</v>
      </c>
      <c r="U36" s="278"/>
      <c r="V36" s="276">
        <f t="shared" si="1233"/>
        <v>1.1916666666666667</v>
      </c>
      <c r="W36" s="279">
        <f t="shared" si="1234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904">SUM(AD36:AI36)</f>
        <v>499</v>
      </c>
      <c r="AK36" s="43">
        <f t="shared" ref="AK36:AK45" si="1905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906">SUM(AL36:AQ36)</f>
        <v>1186</v>
      </c>
      <c r="AS36" s="43">
        <f t="shared" ref="AS36:AS45" si="1907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908">SUM(AT36:AY36)</f>
        <v>199</v>
      </c>
      <c r="BA36" s="43">
        <f t="shared" ref="BA36:BA45" si="1909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910">SUM(BB36:BG36)</f>
        <v>1681</v>
      </c>
      <c r="BI36" s="43">
        <f t="shared" ref="BI36:BI45" si="1911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12">SUM(BJ36:BO36)</f>
        <v>806</v>
      </c>
      <c r="BQ36" s="43">
        <f t="shared" ref="BQ36:BQ45" si="1913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14">SUM(BR36:BW36)</f>
        <v>1588</v>
      </c>
      <c r="BY36" s="43">
        <f t="shared" ref="BY36:BY45" si="1915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16">SUM(BZ36:CE36)</f>
        <v>0</v>
      </c>
      <c r="CG36" s="43">
        <f t="shared" ref="CG36:CG45" si="1917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18">SUM(CH36:CM36)</f>
        <v>1202</v>
      </c>
      <c r="CO36" s="43">
        <f t="shared" ref="CO36:CO45" si="1919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20">SUM(CP36:CU36)</f>
        <v>500</v>
      </c>
      <c r="CW36" s="43">
        <f t="shared" ref="CW36:CW45" si="1921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22">SUM(CX36:DC36)</f>
        <v>0</v>
      </c>
      <c r="DE36" s="43">
        <f t="shared" ref="DE36:DE45" si="1923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24">SUM(DF36:DK36)</f>
        <v>1396</v>
      </c>
      <c r="DM36" s="43">
        <f t="shared" ref="DM36:DM45" si="1925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26">SUM(DN36:DS36)</f>
        <v>991</v>
      </c>
      <c r="DU36" s="43">
        <f t="shared" ref="DU36:DU45" si="1927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28">SUM(DV36:EA36)</f>
        <v>600</v>
      </c>
      <c r="EC36" s="43">
        <f t="shared" ref="EC36:EC45" si="1929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30">SUM(ED36:EI36)</f>
        <v>1020</v>
      </c>
      <c r="EK36" s="43">
        <f t="shared" ref="EK36:EK45" si="1931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32">SUM(EL36:EQ36)</f>
        <v>970</v>
      </c>
      <c r="ES36" s="43">
        <f t="shared" ref="ES36:ES45" si="1933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34">SUM(ET36:EY36)</f>
        <v>1000</v>
      </c>
      <c r="FA36" s="43">
        <f t="shared" ref="FA36:FA45" si="1935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36">SUM(FB36:FG36)</f>
        <v>1200</v>
      </c>
      <c r="FI36" s="43">
        <f t="shared" ref="FI36:FI45" si="1937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38">SUM(FJ36:FO36)</f>
        <v>400</v>
      </c>
      <c r="FQ36" s="43">
        <f t="shared" ref="FQ36:FQ45" si="1939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40">SUM(FR36:FW36)</f>
        <v>617</v>
      </c>
      <c r="FY36" s="43">
        <f t="shared" ref="FY36:FY45" si="1941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42">SUM(FZ36:GE36)</f>
        <v>1557</v>
      </c>
      <c r="GG36" s="43">
        <f t="shared" ref="GG36:GG45" si="1943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44">SUM(GH36:GM36)</f>
        <v>997</v>
      </c>
      <c r="GO36" s="43">
        <f t="shared" ref="GO36:GO45" si="1945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46">SUM(GP36:GU36)</f>
        <v>402</v>
      </c>
      <c r="GW36" s="43">
        <f t="shared" ref="GW36:GW45" si="1947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48">SUM(GX36:HC36)</f>
        <v>1600</v>
      </c>
      <c r="HE36" s="43">
        <f t="shared" ref="HE36:HE45" si="1949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50">SUM(HF36:HK36)</f>
        <v>197</v>
      </c>
      <c r="HM36" s="43">
        <f t="shared" ref="HM36:HM45" si="1951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52">SUM(HN36:HS36)</f>
        <v>299</v>
      </c>
      <c r="HU36" s="43">
        <f t="shared" ref="HU36:HU45" si="1953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54">SUM(HV36:IA36)</f>
        <v>600</v>
      </c>
      <c r="IC36" s="43">
        <f t="shared" ref="IC36:IC45" si="1955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56">SUM(ID36:II36)</f>
        <v>1000</v>
      </c>
      <c r="IK36" s="43">
        <f t="shared" ref="IK36:IK45" si="1957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58">SUM(IL36:IQ36)</f>
        <v>399</v>
      </c>
      <c r="IS36" s="68">
        <f t="shared" ref="IS36:IS45" si="1959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60">SUM(IT36:IY36)</f>
        <v>500</v>
      </c>
      <c r="JA36" s="68">
        <f t="shared" ref="JA36:JA45" si="1961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62">SUM(JB36:JG36)</f>
        <v>604</v>
      </c>
      <c r="JI36" s="68">
        <f t="shared" ref="JI36:JI45" si="1963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64">SUM(JJ36:JO36)</f>
        <v>918</v>
      </c>
      <c r="JQ36" s="43">
        <f t="shared" ref="JQ36:JQ45" si="1965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66">SUM(JR36:JW36)</f>
        <v>1826</v>
      </c>
      <c r="JY36" s="43">
        <f t="shared" ref="JY36:JY45" si="1967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68">SUM(JZ36:KE36)</f>
        <v>600</v>
      </c>
      <c r="KG36" s="43">
        <f t="shared" ref="KG36:KG45" si="1969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70">SUM(KH36:KM36)</f>
        <v>803</v>
      </c>
      <c r="KO36" s="68">
        <f t="shared" ref="KO36:KO45" si="1971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72">SUM(KP36:KU36)</f>
        <v>1203</v>
      </c>
      <c r="KW36" s="68">
        <f t="shared" ref="KW36:KW45" si="1973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74">SUM(KX36:LC36)</f>
        <v>1606</v>
      </c>
      <c r="LE36" s="68">
        <f t="shared" ref="LE36:LE45" si="1975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76">SUM(LF36:LK36)</f>
        <v>600</v>
      </c>
      <c r="LM36" s="68">
        <f t="shared" ref="LM36:LM45" si="1977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78">SUM(LN36:LS36)</f>
        <v>2931</v>
      </c>
      <c r="LU36" s="68">
        <f t="shared" ref="LU36:LU45" si="1979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80">SUM(LV36:MA36)</f>
        <v>0</v>
      </c>
      <c r="MC36" s="68">
        <f t="shared" ref="MC36:MC45" si="1981">MB36/$KN$5</f>
        <v>0</v>
      </c>
      <c r="MD36" s="48"/>
      <c r="ME36" s="49"/>
      <c r="MF36" s="49"/>
      <c r="MG36" s="49"/>
      <c r="MH36" s="49"/>
      <c r="MI36" s="49"/>
      <c r="MJ36" s="67">
        <f t="shared" ref="MJ36:MJ45" si="1982">SUM(MD36:MI36)</f>
        <v>0</v>
      </c>
      <c r="MK36" s="68">
        <f t="shared" ref="MK36:MK45" si="1983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84">SUM(ML36:MQ36)</f>
        <v>578</v>
      </c>
      <c r="MS36" s="68">
        <f t="shared" ref="MS36:MS45" si="1985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86">SUM(MT36:MY36)</f>
        <v>203</v>
      </c>
      <c r="NA36" s="68">
        <f t="shared" ref="NA36:NA45" si="1987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88">SUM(NB36:NG36)</f>
        <v>806</v>
      </c>
      <c r="NI36" s="68">
        <f t="shared" ref="NI36:NI45" si="1989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90">SUM(NJ36:NO36)</f>
        <v>840</v>
      </c>
      <c r="NQ36" s="68">
        <f t="shared" ref="NQ36:NQ45" si="1991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92">SUM(NR36:NW36)</f>
        <v>1194</v>
      </c>
      <c r="NY36" s="68">
        <f t="shared" ref="NY36:NY45" si="1993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94">SUM(NZ36:OE36)</f>
        <v>400</v>
      </c>
      <c r="OG36" s="68">
        <f t="shared" ref="OG36:OG45" si="1995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96">SUM(OH36:OM36)</f>
        <v>0</v>
      </c>
      <c r="OO36" s="68">
        <f t="shared" ref="OO36:OO45" si="1997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98">SUM(OP36:OU36)</f>
        <v>1001</v>
      </c>
      <c r="OW36" s="68">
        <f t="shared" ref="OW36:OW45" si="1999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2000">SUM(OX36:PC36)</f>
        <v>811</v>
      </c>
      <c r="PE36" s="68">
        <f t="shared" ref="PE36:PE45" si="2001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2002">SUM(PF36:PK36)</f>
        <v>1000</v>
      </c>
      <c r="PM36" s="68">
        <f t="shared" ref="PM36:PM45" si="2003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2004">SUM(PN36:PS36)</f>
        <v>403</v>
      </c>
      <c r="PU36" s="68">
        <f t="shared" ref="PU36:PU45" si="2005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2006">SUM(PV36:QA36)</f>
        <v>1200</v>
      </c>
      <c r="QC36" s="105">
        <f t="shared" ref="QC36:QC45" si="2007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2008">SUM(QD36:QI36)</f>
        <v>0</v>
      </c>
      <c r="QK36" s="105">
        <f t="shared" ref="QK36:QK45" si="2009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2010">SUM(QL36:QQ36)</f>
        <v>600</v>
      </c>
      <c r="QS36" s="105">
        <f t="shared" ref="QS36:QS45" si="2011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12">SUM(QT36:QY36)</f>
        <v>606</v>
      </c>
      <c r="RA36" s="105">
        <f t="shared" ref="RA36:RA45" si="2013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14">SUM(RB36:RG36)</f>
        <v>1296</v>
      </c>
      <c r="RI36" s="105">
        <f t="shared" ref="RI36:RI45" si="2015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16">SUM(RJ36:RO36)</f>
        <v>0</v>
      </c>
      <c r="RQ36" s="105">
        <f t="shared" ref="RQ36:RQ45" si="2017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18">SUM(RR36:RW36)</f>
        <v>1787</v>
      </c>
      <c r="RY36" s="105">
        <f t="shared" ref="RY36:RY45" si="2019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20">SUM(RZ36:SE36)</f>
        <v>0</v>
      </c>
      <c r="SG36" s="105">
        <f t="shared" ref="SG36:SG45" si="2021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22">SUM(SH36:SM36)</f>
        <v>1196</v>
      </c>
      <c r="SO36" s="105">
        <f t="shared" ref="SO36:SO45" si="2023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24">SUM(SP36:SU36)</f>
        <v>900</v>
      </c>
      <c r="SW36" s="105">
        <f t="shared" ref="SW36:SW45" si="2025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26">SUM(SX36:TC36)</f>
        <v>1097</v>
      </c>
      <c r="TE36" s="105">
        <f t="shared" ref="TE36:TE45" si="2027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28">SUM(TF36:TK36)</f>
        <v>0</v>
      </c>
      <c r="TM36" s="105">
        <f t="shared" ref="TM36:TM45" si="2029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30">SUM(TN36:TS36)</f>
        <v>501</v>
      </c>
      <c r="TU36" s="105">
        <f t="shared" ref="TU36:TU45" si="2031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32">SUM(TV36:UA36)</f>
        <v>798</v>
      </c>
      <c r="UC36" s="105">
        <f t="shared" ref="UC36:UC45" si="2033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34">SUM(UD36:UI36)</f>
        <v>805</v>
      </c>
      <c r="UK36" s="105">
        <f t="shared" ref="UK36:UK45" si="2035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91"/>
        <v>200</v>
      </c>
      <c r="UT36" s="105">
        <f t="shared" ref="UT36:UT45" si="2036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37">SUM(UU36:UZ36)</f>
        <v>800</v>
      </c>
      <c r="VB36" s="105">
        <f t="shared" ref="VB36:VB45" si="2038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39">SUM(VC36:VH36)</f>
        <v>1034</v>
      </c>
      <c r="VJ36" s="105">
        <f t="shared" ref="VJ36:VJ45" si="2040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41">SUM(VK36:VP36)</f>
        <v>754</v>
      </c>
      <c r="VR36" s="68">
        <f t="shared" ref="VR36:VR45" si="2042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43">SUM(VS36:VX36)</f>
        <v>600</v>
      </c>
      <c r="VZ36" s="105">
        <f t="shared" ref="VZ36:VZ45" si="2044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45">SUM(WA36:WF36)</f>
        <v>598</v>
      </c>
      <c r="WH36" s="68">
        <f t="shared" ref="WH36:WH45" si="2046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47">SUM(WI36:WN36)</f>
        <v>600</v>
      </c>
      <c r="WP36" s="105">
        <f t="shared" ref="WP36:WP45" si="2048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49">SUM(WR36:WW36)</f>
        <v>1001</v>
      </c>
      <c r="WY36" s="68">
        <f t="shared" ref="WY36:WY45" si="2050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51">SUM(XA36:XF36)</f>
        <v>600</v>
      </c>
      <c r="XH36" s="68">
        <f t="shared" ref="XH36:XH45" si="2052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53">SUM(XJ36:XO36)</f>
        <v>1009</v>
      </c>
      <c r="XQ36" s="68">
        <f t="shared" ref="XQ36:XQ45" si="2054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55">SUM(XS36:XX36)</f>
        <v>0</v>
      </c>
      <c r="XZ36" s="68">
        <f t="shared" ref="XZ36:XZ45" si="2056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57">SUM(YB36:YG36)</f>
        <v>396</v>
      </c>
      <c r="YI36" s="68">
        <f t="shared" ref="YI36:YI45" si="2058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59">SUM(YJ36:YP36)</f>
        <v>788</v>
      </c>
      <c r="YR36" s="68">
        <f t="shared" ref="YR36:YR45" si="2060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61">SUM(YS36:YX36)</f>
        <v>600</v>
      </c>
      <c r="YZ36" s="68">
        <f t="shared" ref="YZ36:YZ45" si="2062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63">SUM(ZA36:ZF36)</f>
        <v>613</v>
      </c>
      <c r="ZH36" s="68">
        <f t="shared" ref="ZH36:ZH45" si="2064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65">SUM(ZI36:ZN36)</f>
        <v>399</v>
      </c>
      <c r="ZP36" s="68">
        <f t="shared" ref="ZP36:ZP45" si="2066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67">SUM(ZQ36:ZW36)</f>
        <v>1371</v>
      </c>
      <c r="ZY36" s="70">
        <f t="shared" ref="ZY36:ZY45" si="2068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69">SUM(ZZ36:AAF36)</f>
        <v>797</v>
      </c>
      <c r="AAH36" s="68">
        <f t="shared" ref="AAH36:AAH45" si="2070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71">SUM(AAI36:AAN36)</f>
        <v>800</v>
      </c>
      <c r="AAP36" s="68">
        <f t="shared" ref="AAP36:AAP45" si="2072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73">SUM(AAQ36:AAV36)</f>
        <v>1174</v>
      </c>
      <c r="AAX36" s="68">
        <f t="shared" ref="AAX36:AAX45" si="2074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75">SUM(AAY36:ABD36)</f>
        <v>499</v>
      </c>
      <c r="ABF36" s="68">
        <f t="shared" ref="ABF36:ABF45" si="2076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77">SUM(ABG36:ABL36)</f>
        <v>1438</v>
      </c>
      <c r="ABN36" s="68">
        <f t="shared" ref="ABN36:ABN45" si="2078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79">SUM(ABO36:ABT36)</f>
        <v>301</v>
      </c>
      <c r="ABV36" s="68">
        <f t="shared" ref="ABV36:ABV45" si="2080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81">SUM(ABW36:ACB36)</f>
        <v>806</v>
      </c>
      <c r="ACD36" s="68">
        <f t="shared" ref="ACD36:ACD45" si="2082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83">SUM(ACE36:ACJ36)</f>
        <v>760</v>
      </c>
      <c r="ACL36" s="68">
        <f t="shared" ref="ACL36:ACL45" si="2084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85">SUM(ACM36:ACR36)</f>
        <v>99</v>
      </c>
      <c r="ACT36" s="68">
        <f t="shared" ref="ACT36:ACT45" si="2086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87">SUM(ACU36:ACZ36)</f>
        <v>1158</v>
      </c>
      <c r="ADB36" s="68">
        <f t="shared" ref="ADB36:ADB45" si="2088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89">SUM(ADC36:ADH36)</f>
        <v>806</v>
      </c>
      <c r="ADJ36" s="68">
        <f t="shared" ref="ADJ36:ADJ45" si="2090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91">SUM(ADK36:ADP36)</f>
        <v>427</v>
      </c>
      <c r="ADR36" s="68">
        <f t="shared" ref="ADR36:ADR45" si="2092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93">SUM(ADS36:ADX36)</f>
        <v>0</v>
      </c>
      <c r="ADZ36" s="68">
        <f t="shared" ref="ADZ36:ADZ45" si="2094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95">SUM(AEA36:AEF36)</f>
        <v>619</v>
      </c>
      <c r="AEH36" s="68">
        <f t="shared" ref="AEH36:AEH45" si="2096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97">SUM(AEI36:AEN36)</f>
        <v>843</v>
      </c>
      <c r="AEP36" s="68">
        <f t="shared" ref="AEP36:AEP45" si="2098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99">SUM(AEQ36:AEV36)</f>
        <v>858</v>
      </c>
      <c r="AEX36" s="68">
        <f t="shared" ref="AEX36:AEX45" si="2100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101">SUM(AEY36:AFD36)</f>
        <v>330</v>
      </c>
      <c r="AFF36" s="68">
        <f t="shared" ref="AFF36:AFF45" si="2102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103">SUM(AFG36:AFL36)</f>
        <v>619</v>
      </c>
      <c r="AFN36" s="68">
        <f t="shared" ref="AFN36:AFN45" si="2104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105">SUM(AFO36:AFT36)</f>
        <v>520</v>
      </c>
      <c r="AFV36" s="68">
        <f t="shared" ref="AFV36:AFV45" si="2106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107">SUM(AFW36:AGB36)</f>
        <v>401</v>
      </c>
      <c r="AGD36" s="68">
        <f t="shared" ref="AGD36:AGD45" si="2108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109">SUM(AGE36:AGJ36)</f>
        <v>878</v>
      </c>
      <c r="AGL36" s="68">
        <f t="shared" ref="AGL36:AGL45" si="2110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111">SUM(AGN36:AGS36)</f>
        <v>438</v>
      </c>
      <c r="AGU36" s="68">
        <f t="shared" ref="AGU36:AGU45" si="2112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13">SUM(AGV36:AHA36)</f>
        <v>1100</v>
      </c>
      <c r="AHC36" s="68">
        <f t="shared" ref="AHC36:AHC45" si="2114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15">SUM(AHD36:AHI36)</f>
        <v>218</v>
      </c>
      <c r="AHK36" s="68">
        <f t="shared" ref="AHK36:AHK45" si="2116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17">SUM(AHL36:AHQ36)</f>
        <v>550</v>
      </c>
      <c r="AHS36" s="68">
        <f t="shared" ref="AHS36:AHS45" si="2118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19">SUM(AHT36:AHY36)</f>
        <v>990</v>
      </c>
      <c r="AIA36" s="68">
        <f t="shared" ref="AIA36:AIA45" si="2120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21">SUM(AIB36:AIG36)</f>
        <v>0</v>
      </c>
      <c r="AII36" s="68">
        <f t="shared" ref="AII36:AII45" si="2122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23">SUM(AIJ36:AIO36)</f>
        <v>1095</v>
      </c>
      <c r="AIQ36" s="68">
        <f t="shared" ref="AIQ36:AIQ45" si="2124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25">SUM(AIR36:AIW36)</f>
        <v>660</v>
      </c>
      <c r="AIY36" s="68">
        <f t="shared" ref="AIY36:AIY45" si="2126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27">SUM(AIZ36:AJE36)</f>
        <v>500</v>
      </c>
      <c r="AJG36" s="68">
        <f t="shared" ref="AJG36:AJG45" si="2128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29">SUM(AJH36:AJM36)</f>
        <v>0</v>
      </c>
      <c r="AJO36" s="43">
        <f t="shared" ref="AJO36:AJO45" si="2130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31">SUM(AJP36:AJU36)</f>
        <v>950</v>
      </c>
      <c r="AJW36" s="43">
        <f t="shared" ref="AJW36:AJW45" si="2132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33">SUM(AJX36:AKC36)</f>
        <v>655</v>
      </c>
      <c r="AKE36" s="68">
        <f t="shared" ref="AKE36:AKE45" si="2134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35">SUM(AKF36:AKK36)</f>
        <v>830</v>
      </c>
      <c r="AKM36" s="184">
        <f t="shared" ref="AKM36:AKM45" si="2136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37">SUM(AKN36:AKS36)</f>
        <v>220</v>
      </c>
      <c r="AKU36" s="184">
        <f t="shared" ref="AKU36:AKU45" si="2138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39">SUM(AKV36:ALA36)</f>
        <v>550</v>
      </c>
      <c r="ALC36" s="68">
        <f t="shared" ref="ALC36:ALC45" si="2140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41">SUM(ALD36:ALI36)</f>
        <v>440</v>
      </c>
      <c r="ALK36" s="68">
        <f t="shared" ref="ALK36:ALK45" si="2142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43">SUM(ALL36:ALQ36)</f>
        <v>550</v>
      </c>
      <c r="ALS36" s="68">
        <f t="shared" ref="ALS36:ALS45" si="2144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45">SUM(ALT36:ALY36)</f>
        <v>400</v>
      </c>
      <c r="AMA36" s="68">
        <f t="shared" ref="AMA36:AMA45" si="2146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47">SUM(AMB36:AMG36)</f>
        <v>440</v>
      </c>
      <c r="AMI36" s="68">
        <f t="shared" ref="AMI36:AMI45" si="2148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49">SUM(AMJ36:AMO36)</f>
        <v>220</v>
      </c>
      <c r="AMQ36" s="68">
        <f t="shared" ref="AMQ36:AMQ45" si="2150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51">SUM(AMR36:AMW36)</f>
        <v>437</v>
      </c>
      <c r="AMY36" s="68">
        <f t="shared" ref="AMY36:AMY45" si="2152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53">SUM(AMZ36:ANE36)</f>
        <v>0</v>
      </c>
      <c r="ANG36" s="68">
        <f t="shared" ref="ANG36:ANG45" si="2154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55">SUM(ANH36:ANM36)</f>
        <v>0</v>
      </c>
      <c r="ANO36" s="68">
        <f t="shared" ref="ANO36:ANO45" si="2156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57">SUM(ANP36:ANU36)</f>
        <v>220</v>
      </c>
      <c r="ANW36" s="68">
        <f t="shared" ref="ANW36:ANW45" si="2158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59">SUM(ANX36:AOC36)</f>
        <v>879</v>
      </c>
      <c r="AOE36" s="68">
        <f t="shared" ref="AOE36:AOE45" si="2160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61">SUM(AOF36:AOK36)</f>
        <v>442</v>
      </c>
      <c r="AOM36" s="68">
        <f t="shared" ref="AOM36:AOM45" si="2162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63">SUM(AON36:AOS36)</f>
        <v>660</v>
      </c>
      <c r="AOU36" s="68">
        <f t="shared" ref="AOU36:AOU45" si="2164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65">SUM(AOV36:APA36)</f>
        <v>111</v>
      </c>
      <c r="APC36" s="68">
        <f t="shared" ref="APC36:APC45" si="2166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67">SUM(APD36:API36)</f>
        <v>801</v>
      </c>
      <c r="APK36" s="68">
        <f t="shared" ref="APK36:APK45" si="2168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69">SUM(APL36:APQ36)</f>
        <v>220</v>
      </c>
      <c r="APS36" s="68">
        <f t="shared" ref="APS36:APS45" si="2170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71">SUM(APT36:APY36)</f>
        <v>330</v>
      </c>
      <c r="AQA36" s="68">
        <f t="shared" ref="AQA36:AQA45" si="2172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73">SUM(AQB36:AQG36)</f>
        <v>990</v>
      </c>
      <c r="AQI36" s="68">
        <f t="shared" ref="AQI36:AQI45" si="2174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75">SUM(AQJ36:AQO36)</f>
        <v>660</v>
      </c>
      <c r="AQQ36" s="68">
        <f t="shared" ref="AQQ36:AQQ45" si="2176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77">SUM(AQR36:AQW36)</f>
        <v>625</v>
      </c>
      <c r="AQY36" s="68">
        <f t="shared" ref="AQY36:AQY45" si="2178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79">SUM(AQZ36:ARE36)</f>
        <v>330</v>
      </c>
      <c r="ARG36" s="68">
        <f t="shared" ref="ARG36:ARG45" si="2180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81">SUM(ARH36:ARM36)</f>
        <v>640</v>
      </c>
      <c r="ARO36" s="68">
        <f t="shared" ref="ARO36:ARO45" si="2182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83">SUM(ARP36:ARU36)</f>
        <v>440</v>
      </c>
      <c r="ARW36" s="68">
        <f t="shared" ref="ARW36:ARW45" si="2184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85">SUM(ARX36:ASC36)</f>
        <v>328</v>
      </c>
      <c r="ASE36" s="68">
        <f t="shared" ref="ASE36:ASE45" si="2186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87">SUM(ASF36:ASK36)</f>
        <v>550</v>
      </c>
      <c r="ASM36" s="68">
        <f t="shared" ref="ASM36:ASM45" si="2188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89">SUM(ASN36:ASS36)</f>
        <v>880</v>
      </c>
      <c r="ASU36" s="68">
        <f t="shared" ref="ASU36:ASU45" si="2190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91">SUM(ASV36:ATA36)</f>
        <v>110</v>
      </c>
      <c r="ATC36" s="68">
        <f t="shared" ref="ATC36:ATC45" si="2192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93">SUM(ATD36:ATI36)</f>
        <v>440</v>
      </c>
      <c r="ATK36" s="68">
        <f t="shared" ref="ATK36:ATK45" si="2194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95">SUM(ATL36:ATQ36)</f>
        <v>440</v>
      </c>
      <c r="ATS36" s="68">
        <f t="shared" ref="ATS36:ATS45" si="2196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97">SUM(ATT36:ATY36)</f>
        <v>220</v>
      </c>
      <c r="AUA36" s="68">
        <f t="shared" ref="AUA36:AUA45" si="2198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99">SUM(AUB36:AUG36)</f>
        <v>440</v>
      </c>
      <c r="AUI36" s="68">
        <f t="shared" ref="AUI36:AUI45" si="2200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201">SUM(AUJ36:AUO36)</f>
        <v>440</v>
      </c>
      <c r="AUQ36" s="68">
        <f t="shared" ref="AUQ36:AUQ45" si="2202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203">SUM(AUR36:AUW36)</f>
        <v>110</v>
      </c>
      <c r="AUY36" s="68">
        <f t="shared" ref="AUY36:AUY45" si="2204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205">SUM(AUZ36:AVE36)</f>
        <v>550</v>
      </c>
      <c r="AVG36" s="68">
        <f t="shared" ref="AVG36:AVG45" si="2206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207">SUM(AVH36:AVM36)</f>
        <v>0</v>
      </c>
      <c r="AVO36" s="68">
        <f t="shared" ref="AVO36:AVO45" si="2208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209">SUM(AVP36:AVU36)</f>
        <v>330</v>
      </c>
      <c r="AVW36" s="68">
        <f t="shared" ref="AVW36:AVW45" si="2210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211">SUM(AVX36:AWC36)</f>
        <v>330</v>
      </c>
      <c r="AWE36" s="68">
        <f t="shared" ref="AWE36:AWE45" si="2212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13">SUM(AWF36:AWK36)</f>
        <v>0</v>
      </c>
      <c r="AWM36" s="184">
        <f t="shared" ref="AWM36:AWM45" si="2214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2" si="2215">SUM(AWN36:AWS36)</f>
        <v>220</v>
      </c>
      <c r="AWU36" s="43">
        <f t="shared" ref="AWU36:AWU62" si="2216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2" si="2217">SUM(AWV36:AXA36)</f>
        <v>0</v>
      </c>
      <c r="AXC36" s="43">
        <f t="shared" ref="AXC36:AXC62" si="2218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19">SUM(AXD36:AXI36)</f>
        <v>220</v>
      </c>
      <c r="AXK36" s="43">
        <f t="shared" ref="AXK36:AXK45" si="2220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21">SUM(AXL36:AXQ36)</f>
        <v>220</v>
      </c>
      <c r="AXS36" s="43">
        <f t="shared" ref="AXS36:AXS45" si="2222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23">SUM(AXT36:AXY36)</f>
        <v>218</v>
      </c>
      <c r="AYA36" s="43">
        <f t="shared" ref="AYA36:AYA45" si="2224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25">SUM(AYB36:AYG36)</f>
        <v>438</v>
      </c>
      <c r="AYI36" s="43">
        <f t="shared" ref="AYI36:AYI45" si="2226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27">SUM(AYJ36:AYO36)</f>
        <v>229</v>
      </c>
      <c r="AYQ36" s="43">
        <f t="shared" ref="AYQ36:AYQ45" si="2228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29">SUM(AYR36:AYW36)</f>
        <v>0</v>
      </c>
      <c r="AYY36" s="43">
        <f t="shared" ref="AYY36:AYY45" si="2230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31">SUM(AYZ36:AZE36)</f>
        <v>0</v>
      </c>
      <c r="AZG36" s="43">
        <f t="shared" ref="AZG36:AZG45" si="2232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33">SUM(AZH36:AZM36)</f>
        <v>220</v>
      </c>
      <c r="AZO36" s="43">
        <f t="shared" ref="AZO36:AZO45" si="2234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35">SUM(AZP36:AZU36)</f>
        <v>660</v>
      </c>
      <c r="AZW36" s="43">
        <f t="shared" ref="AZW36:AZW45" si="2236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37">SUM(AZX36:BAC36)</f>
        <v>0</v>
      </c>
      <c r="BAE36" s="43">
        <f t="shared" ref="BAE36:BAE45" si="2238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39">SUM(BAF36:BAK36)</f>
        <v>219</v>
      </c>
      <c r="BAM36" s="43">
        <f t="shared" ref="BAM36:BAM45" si="2240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41">SUM(BAN36:BAS36)</f>
        <v>220</v>
      </c>
      <c r="BAU36" s="43">
        <f t="shared" ref="BAU36:BAU45" si="2242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43">SUM(BAV36:BBA36)</f>
        <v>0</v>
      </c>
      <c r="BBC36" s="43">
        <f t="shared" ref="BBC36:BBC45" si="2244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45">SUM(BBD36:BBI36)</f>
        <v>110</v>
      </c>
      <c r="BBK36" s="43">
        <f t="shared" ref="BBK36:BBK45" si="2246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47">SUM(BBL36:BBQ36)</f>
        <v>326</v>
      </c>
      <c r="BBS36" s="43">
        <f t="shared" ref="BBS36:BBS45" si="2248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49">SUM(BBT36:BBY36)</f>
        <v>215</v>
      </c>
      <c r="BCA36" s="43">
        <f t="shared" ref="BCA36:BCA45" si="2250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51">SUM(BCB36:BCG36)</f>
        <v>0</v>
      </c>
      <c r="BCI36" s="43">
        <f t="shared" ref="BCI36:BCI45" si="2252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53">SUM(BCJ36:BCO36)</f>
        <v>214</v>
      </c>
      <c r="BCQ36" s="43">
        <f t="shared" ref="BCQ36:BCQ45" si="2254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55">SUM(BCR36:BCW36)</f>
        <v>220</v>
      </c>
      <c r="BCY36" s="43">
        <f t="shared" ref="BCY36:BCY45" si="2256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57">SUM(BCZ36:BDE36)</f>
        <v>0</v>
      </c>
      <c r="BDG36" s="43">
        <f t="shared" ref="BDG36:BDG45" si="2258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59">SUM(BDH36:BDM36)</f>
        <v>0</v>
      </c>
      <c r="BDO36" s="43">
        <f t="shared" ref="BDO36:BDO45" si="2260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61">SUM(BDP36:BDU36)</f>
        <v>441</v>
      </c>
      <c r="BDW36" s="43">
        <f t="shared" ref="BDW36:BDW45" si="2262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63">SUM(BDX36:BEC36)</f>
        <v>110</v>
      </c>
      <c r="BEE36" s="43">
        <f t="shared" ref="BEE36:BEE45" si="2264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65">SUM(BEF36:BEK36)</f>
        <v>210</v>
      </c>
      <c r="BEM36" s="43">
        <f t="shared" ref="BEM36:BEM45" si="2266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67">SUM(BEN36:BES36)</f>
        <v>110</v>
      </c>
      <c r="BEU36" s="43">
        <f t="shared" ref="BEU36:BEU45" si="2268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69">SUM(BEV36:BFA36)</f>
        <v>327</v>
      </c>
      <c r="BFC36" s="43">
        <f t="shared" ref="BFC36:BFC45" si="2270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71">SUM(BFD36:BFI36)</f>
        <v>220</v>
      </c>
      <c r="BFK36" s="43">
        <f t="shared" ref="BFK36:BFK45" si="2272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73">SUM(BFL36:BFQ36)</f>
        <v>0</v>
      </c>
      <c r="BFS36" s="43">
        <f t="shared" ref="BFS36:BFS45" si="2274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75">SUM(BFT36:BFY36)</f>
        <v>340</v>
      </c>
      <c r="BGA36" s="43">
        <f t="shared" ref="BGA36:BGA45" si="2276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77">SUM(BGB36:BGG36)</f>
        <v>249</v>
      </c>
      <c r="BGI36" s="43">
        <f t="shared" ref="BGI36:BGI45" si="2278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79">SUM(BGJ36:BGO36)</f>
        <v>220</v>
      </c>
      <c r="BGQ36" s="43">
        <f t="shared" ref="BGQ36:BGQ45" si="2280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81">SUM(BGR36:BGW36)</f>
        <v>220</v>
      </c>
      <c r="BGY36" s="43">
        <f t="shared" ref="BGY36:BGY45" si="2282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83">SUM(BGZ36:BHE36)</f>
        <v>110</v>
      </c>
      <c r="BHG36" s="43">
        <f t="shared" ref="BHG36:BHG45" si="2284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85">SUM(BHH36:BHM36)</f>
        <v>109</v>
      </c>
      <c r="BHO36" s="43">
        <f t="shared" ref="BHO36:BHO45" si="2286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87">SUM(BHP36:BHU36)</f>
        <v>220</v>
      </c>
      <c r="BHW36" s="43">
        <f t="shared" ref="BHW36:BHW45" si="2288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89">SUM(BHX36:BIC36)</f>
        <v>327</v>
      </c>
      <c r="BIE36" s="43">
        <f t="shared" ref="BIE36:BIE45" si="2290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91">SUM(BIF36:BIK36)</f>
        <v>0</v>
      </c>
      <c r="BIM36" s="43">
        <f t="shared" ref="BIM36:BIM45" si="2292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93">SUM(BIN36:BIS36)</f>
        <v>340</v>
      </c>
      <c r="BIU36" s="101">
        <f t="shared" ref="BIU36:BIU45" si="2294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95">SUM(BIV36:BJA36)</f>
        <v>220</v>
      </c>
      <c r="BJC36" s="101">
        <f t="shared" ref="BJC36:BJC45" si="2296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97">SUM(BJD36:BJI36)</f>
        <v>172</v>
      </c>
      <c r="BJK36" s="43">
        <f t="shared" ref="BJK36:BJK45" si="2298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99">SUM(BJL36:BJQ36)</f>
        <v>110</v>
      </c>
      <c r="BJS36" s="43">
        <f t="shared" ref="BJS36:BJS45" si="2300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301">SUM(BJT36:BJY36)</f>
        <v>220</v>
      </c>
      <c r="BKA36" s="43">
        <f t="shared" ref="BKA36:BKA45" si="2302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303">SUM(BKB36:BKG36)</f>
        <v>199</v>
      </c>
      <c r="BKI36" s="68">
        <f t="shared" ref="BKI36:BKI45" si="2304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305">SUM(BKJ36:BKO36)</f>
        <v>0</v>
      </c>
      <c r="BKQ36" s="43">
        <f t="shared" ref="BKQ36:BKQ45" si="2306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307">SUM(BKR36:BKW36)</f>
        <v>225</v>
      </c>
      <c r="BKY36" s="43">
        <f t="shared" ref="BKY36:BKY45" si="2308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309">SUM(BKZ36:BLE36)</f>
        <v>220</v>
      </c>
      <c r="BLG36" s="43">
        <f t="shared" ref="BLG36:BLG45" si="2310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311">SUM(BLH36:BLM36)</f>
        <v>0</v>
      </c>
      <c r="BLO36" s="43">
        <f t="shared" ref="BLO36:BLO45" si="2312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13">SUM(BLP36:BLU36)</f>
        <v>216</v>
      </c>
      <c r="BLW36" s="43">
        <f t="shared" ref="BLW36:BLW45" si="2314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15">SUM(BLX36:BMC36)</f>
        <v>330</v>
      </c>
      <c r="BME36" s="43">
        <f t="shared" ref="BME36:BME45" si="2316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17">SUM(BMF36:BMK36)</f>
        <v>110</v>
      </c>
      <c r="BMM36" s="43">
        <f t="shared" ref="BMM36:BMM45" si="2318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19">SUM(BMN36:BMS36)</f>
        <v>110</v>
      </c>
      <c r="BMU36" s="43">
        <f t="shared" ref="BMU36:BMU45" si="2320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21">SUM(BMV36:BNA36)</f>
        <v>497</v>
      </c>
      <c r="BNC36" s="43">
        <f t="shared" ref="BNC36:BNC45" si="2322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23">SUM(BND36:BNI36)</f>
        <v>220</v>
      </c>
      <c r="BNK36" s="43">
        <f t="shared" ref="BNK36:BNK45" si="2324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25">SUM(BNL36:BNQ36)</f>
        <v>109</v>
      </c>
      <c r="BNS36" s="43">
        <f t="shared" ref="BNS36:BNS45" si="2326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27">SUM(BNT36:BNY36)</f>
        <v>0</v>
      </c>
      <c r="BOA36" s="43">
        <f t="shared" ref="BOA36:BOA45" si="2328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29">SUM(BOB36:BOG36)</f>
        <v>220</v>
      </c>
      <c r="BOI36" s="43">
        <f t="shared" ref="BOI36:BOI45" si="2330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31">SUM(BOJ36:BOO36)</f>
        <v>200</v>
      </c>
      <c r="BOQ36" s="43">
        <f t="shared" ref="BOQ36:BOQ45" si="2332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33">SUM(BOR36:BOW36)</f>
        <v>218</v>
      </c>
      <c r="BOY36" s="43">
        <f t="shared" ref="BOY36:BOY45" si="2334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35">SUM(BOZ36:BPE36)</f>
        <v>217</v>
      </c>
      <c r="BPG36" s="43">
        <f t="shared" ref="BPG36:BPG45" si="2336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37">SUM(BPH36:BPM36)</f>
        <v>331</v>
      </c>
      <c r="BPO36" s="43">
        <f t="shared" ref="BPO36:BPO45" si="2338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39">SUM(BPP36:BPU36)</f>
        <v>110</v>
      </c>
      <c r="BPW36" s="43">
        <f t="shared" ref="BPW36:BPW45" si="2340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41">SUM(BPX36:BQC36)</f>
        <v>97</v>
      </c>
      <c r="BQE36" s="43">
        <f t="shared" ref="BQE36:BQE45" si="2342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43">SUM(BQF36:BQK36)</f>
        <v>463</v>
      </c>
      <c r="BQM36" s="43">
        <f t="shared" ref="BQM36:BQM45" si="2344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45">SUM(BQN36:BQS36)</f>
        <v>110</v>
      </c>
      <c r="BQU36" s="43">
        <f t="shared" ref="BQU36:BQU45" si="2346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47">SUM(BQV36:BRA36)</f>
        <v>120</v>
      </c>
      <c r="BRC36" s="43">
        <f t="shared" ref="BRC36:BRC45" si="2348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49">SUM(BRD36:BRI36)</f>
        <v>329</v>
      </c>
      <c r="BRK36" s="43">
        <f t="shared" ref="BRK36:BRK45" si="2350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51">SUM(BRL36:BRQ36)</f>
        <v>220</v>
      </c>
      <c r="BRS36" s="68">
        <f t="shared" ref="BRS36:BRS45" si="2352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53">SUM(BRT36:BRY36)</f>
        <v>0</v>
      </c>
      <c r="BSA36" s="43">
        <f t="shared" ref="BSA36:BSA45" si="2354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55">SUM(BSB36:BSG36)</f>
        <v>216</v>
      </c>
      <c r="BSI36" s="43">
        <f t="shared" ref="BSI36:BSI45" si="2356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57">SUM(BSJ36:BSO36)</f>
        <v>220</v>
      </c>
      <c r="BSQ36" s="43">
        <f t="shared" ref="BSQ36:BSQ45" si="2358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59">SUM(BSR36:BSW36)</f>
        <v>102</v>
      </c>
      <c r="BSY36" s="43">
        <f t="shared" ref="BSY36:BSY45" si="2360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61">SUM(BSZ36:BTE36)</f>
        <v>322</v>
      </c>
      <c r="BTG36" s="43">
        <f t="shared" ref="BTG36:BTG45" si="2362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63">SUM(BTH36:BTM36)</f>
        <v>0</v>
      </c>
      <c r="BTO36" s="68">
        <f t="shared" ref="BTO36:BTO45" si="2364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65">SUM(BTP36:BTU36)</f>
        <v>544</v>
      </c>
      <c r="BTW36" s="43">
        <f t="shared" ref="BTW36:BTW45" si="2366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67">SUM(BTX36:BUC36)</f>
        <v>0</v>
      </c>
      <c r="BUE36" s="68">
        <f t="shared" ref="BUE36:BUE45" si="2368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69">SUM(BUF36:BUK36)</f>
        <v>220</v>
      </c>
      <c r="BUM36" s="68">
        <f t="shared" ref="BUM36:BUM45" si="2370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71">SUM(BUN36:BUS36)</f>
        <v>330</v>
      </c>
      <c r="BUU36" s="68">
        <f t="shared" ref="BUU36:BUU45" si="2372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73">SUM(BUV36:BVA36)</f>
        <v>99</v>
      </c>
      <c r="BVC36" s="68">
        <f t="shared" ref="BVC36:BVC45" si="2374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75">SUM(BVD36:BVI36)</f>
        <v>107</v>
      </c>
      <c r="BVK36" s="68">
        <f t="shared" ref="BVK36:BVK45" si="2376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77">SUM(BVL36:BVQ36)</f>
        <v>219</v>
      </c>
      <c r="BVS36" s="68">
        <f t="shared" ref="BVS36:BVS45" si="2378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79">SUM(BVT36:BVY36)</f>
        <v>554</v>
      </c>
      <c r="BWA36" s="68">
        <f t="shared" ref="BWA36:BWA45" si="2380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81">SUM(BWB36:BWG36)</f>
        <v>218</v>
      </c>
      <c r="BWI36" s="68">
        <f t="shared" ref="BWI36:BWI45" si="2382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83">SUM(BWJ36:BWO36)</f>
        <v>421</v>
      </c>
      <c r="BWQ36" s="68">
        <f t="shared" ref="BWQ36:BWQ45" si="2384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85">SUM(BWR36:BWW36)</f>
        <v>0</v>
      </c>
      <c r="BWY36" s="68">
        <f t="shared" ref="BWY36:BWY45" si="2386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87">SUM(BWZ36:BXE36)</f>
        <v>443</v>
      </c>
      <c r="BXG36" s="68">
        <f t="shared" ref="BXG36:BXG45" si="2388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89">SUM(BXH36:BXM36)</f>
        <v>110</v>
      </c>
      <c r="BXO36" s="68">
        <f t="shared" ref="BXO36:BXO45" si="2390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91">SUM(BXP36:BXU36)</f>
        <v>220</v>
      </c>
      <c r="BXW36" s="68">
        <f t="shared" si="1596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92">SUM(BXX36:BYC36)</f>
        <v>330</v>
      </c>
      <c r="BYE36" s="68">
        <f t="shared" ref="BYE36:BYE45" si="2393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94">SUM(BYF36:BYK36)</f>
        <v>306</v>
      </c>
      <c r="BYM36" s="68">
        <f t="shared" ref="BYM36:BYM45" si="2395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96">SUM(BYN36:BYS36)</f>
        <v>658</v>
      </c>
      <c r="BYU36" s="68">
        <f t="shared" ref="BYU36:BYU45" si="2397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98">SUM(BYV36:BZA36)</f>
        <v>200</v>
      </c>
      <c r="BZC36" s="68">
        <f t="shared" ref="BZC36:BZC45" si="2399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400">SUM(BZD36:BZI36)</f>
        <v>772</v>
      </c>
      <c r="BZK36" s="68">
        <f t="shared" ref="BZK36:BZK45" si="2401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402">SUM(BZL36:BZQ36)</f>
        <v>769</v>
      </c>
      <c r="BZS36" s="68">
        <f t="shared" ref="BZS36:BZS45" si="2403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404">SUM(BZT36:BZY36)</f>
        <v>560</v>
      </c>
      <c r="CAA36" s="68">
        <f t="shared" ref="CAA36:CAA45" si="2405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406">SUM(CAB36:CAG36)</f>
        <v>127</v>
      </c>
      <c r="CAI36" s="68">
        <f t="shared" ref="CAI36:CAI45" si="2407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408">SUM(CAJ36:CAO36)</f>
        <v>426</v>
      </c>
      <c r="CAQ36" s="68">
        <f t="shared" ref="CAQ36:CAQ45" si="2409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410">SUM(CAR36:CAW36)</f>
        <v>206</v>
      </c>
      <c r="CAY36" s="68">
        <f t="shared" ref="CAY36:CAY45" si="2411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12">SUM(CAZ36:CBE36)</f>
        <v>656</v>
      </c>
      <c r="CBG36" s="68">
        <f t="shared" ref="CBG36:CBG45" si="2413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14">SUM(CBH36:CBM36)</f>
        <v>460</v>
      </c>
      <c r="CBO36" s="68">
        <f t="shared" ref="CBO36:CBO45" si="2415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16">SUM(CBP36:CBU36)</f>
        <v>327</v>
      </c>
      <c r="CBW36" s="68">
        <f t="shared" ref="CBW36:CBW45" si="2417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18">SUM(CBX36:CCC36)</f>
        <v>109</v>
      </c>
      <c r="CCE36" s="68">
        <f t="shared" ref="CCE36:CCE45" si="2419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20">SUM(CCF36:CCK36)</f>
        <v>220</v>
      </c>
      <c r="CCM36" s="68">
        <f t="shared" ref="CCM36:CCM45" si="2421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22">SUM(CCN36:CCS36)</f>
        <v>0</v>
      </c>
      <c r="CCU36" s="68">
        <f t="shared" ref="CCU36:CCU45" si="2423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41"/>
        <v>439</v>
      </c>
      <c r="CDC36" s="68">
        <f t="shared" si="1642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43"/>
        <v>1032</v>
      </c>
      <c r="CDK36" s="68">
        <f t="shared" si="1644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45"/>
        <v>200</v>
      </c>
      <c r="CDS36" s="68">
        <f t="shared" si="1646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47"/>
        <v>219</v>
      </c>
      <c r="CEA36" s="68">
        <f t="shared" si="1648"/>
        <v>36.5</v>
      </c>
      <c r="CEB36" s="48"/>
      <c r="CEC36" s="49"/>
      <c r="CED36" s="49"/>
      <c r="CEE36" s="49"/>
      <c r="CEF36" s="49"/>
      <c r="CEG36" s="49"/>
      <c r="CEH36" s="67">
        <f t="shared" si="1649"/>
        <v>0</v>
      </c>
      <c r="CEI36" s="68">
        <f t="shared" si="1650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51"/>
        <v>318</v>
      </c>
      <c r="CEQ36" s="68">
        <f t="shared" si="1652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53"/>
        <v>220</v>
      </c>
      <c r="CEY36" s="68">
        <f t="shared" si="1654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55"/>
        <v>570</v>
      </c>
      <c r="CFG36" s="68">
        <f t="shared" si="1656"/>
        <v>95</v>
      </c>
      <c r="CFH36" s="48"/>
      <c r="CFI36" s="49"/>
      <c r="CFJ36" s="49"/>
      <c r="CFK36" s="49"/>
      <c r="CFL36" s="49"/>
      <c r="CFM36" s="49"/>
      <c r="CFN36" s="67">
        <f t="shared" si="1657"/>
        <v>0</v>
      </c>
      <c r="CFO36" s="68">
        <f t="shared" si="1658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59"/>
        <v>432</v>
      </c>
      <c r="CFW36" s="68">
        <f t="shared" si="1660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61"/>
        <v>10</v>
      </c>
      <c r="CGE36" s="68">
        <f t="shared" si="1662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63"/>
        <v>217</v>
      </c>
      <c r="CGM36" s="68">
        <f t="shared" si="1664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65"/>
        <v>296</v>
      </c>
      <c r="CGU36" s="68">
        <f t="shared" si="1666"/>
        <v>49.333333333333336</v>
      </c>
      <c r="CGV36" s="48"/>
      <c r="CGW36" s="49"/>
      <c r="CGX36" s="49"/>
      <c r="CGY36" s="49"/>
      <c r="CGZ36" s="49"/>
      <c r="CHA36" s="49"/>
      <c r="CHB36" s="67">
        <f t="shared" si="1667"/>
        <v>0</v>
      </c>
      <c r="CHC36" s="68">
        <f t="shared" si="1668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69"/>
        <v>108</v>
      </c>
      <c r="CHK36" s="68">
        <f t="shared" si="1670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71"/>
        <v>330</v>
      </c>
      <c r="CHS36" s="68">
        <f t="shared" si="1672"/>
        <v>55</v>
      </c>
      <c r="CHT36" s="48"/>
      <c r="CHU36" s="49"/>
      <c r="CHV36" s="49"/>
      <c r="CHW36" s="49"/>
      <c r="CHX36" s="49"/>
      <c r="CHY36" s="49"/>
      <c r="CHZ36" s="67">
        <f t="shared" si="1673"/>
        <v>0</v>
      </c>
      <c r="CIA36" s="68">
        <f t="shared" si="1674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75"/>
        <v>359</v>
      </c>
      <c r="CII36" s="68">
        <f t="shared" si="1676"/>
        <v>59.833333333333336</v>
      </c>
      <c r="CIJ36" s="48"/>
      <c r="CIK36" s="49"/>
      <c r="CIL36" s="49"/>
      <c r="CIM36" s="49"/>
      <c r="CIN36" s="49"/>
      <c r="CIO36" s="49"/>
      <c r="CIP36" s="67">
        <f t="shared" si="1677"/>
        <v>0</v>
      </c>
      <c r="CIQ36" s="68">
        <f t="shared" si="1678"/>
        <v>0</v>
      </c>
      <c r="CIR36" s="48"/>
      <c r="CIS36" s="49"/>
      <c r="CIT36" s="49"/>
      <c r="CIU36" s="49"/>
      <c r="CIV36" s="49"/>
      <c r="CIW36" s="49"/>
      <c r="CIX36" s="67">
        <f t="shared" si="1679"/>
        <v>0</v>
      </c>
      <c r="CIY36" s="68">
        <f t="shared" si="1680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81"/>
        <v>282</v>
      </c>
      <c r="CJG36" s="68">
        <f t="shared" si="1682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83"/>
        <v>231</v>
      </c>
      <c r="CJO36" s="184">
        <f t="shared" si="1684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85"/>
        <v>109</v>
      </c>
      <c r="CJW36" s="68">
        <f t="shared" si="1686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87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88"/>
        <v>327</v>
      </c>
      <c r="CKM36" s="68">
        <f t="shared" si="1689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90"/>
        <v>4</v>
      </c>
      <c r="CKU36" s="68">
        <f t="shared" si="1691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92"/>
        <v>406</v>
      </c>
      <c r="CLC36" s="68">
        <f t="shared" si="1693"/>
        <v>67.666666666666671</v>
      </c>
      <c r="CLD36" s="48"/>
      <c r="CLE36" s="49"/>
      <c r="CLF36" s="49"/>
      <c r="CLG36" s="49"/>
      <c r="CLH36" s="49"/>
      <c r="CLI36" s="49"/>
      <c r="CLJ36" s="67">
        <f t="shared" si="1694"/>
        <v>0</v>
      </c>
      <c r="CLK36" s="68">
        <f t="shared" si="1695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96"/>
        <v>497</v>
      </c>
      <c r="CLS36" s="68">
        <f t="shared" si="1697"/>
        <v>82.833333333333329</v>
      </c>
      <c r="CLT36" s="48"/>
      <c r="CLU36" s="49"/>
      <c r="CLV36" s="49"/>
      <c r="CLW36" s="49"/>
      <c r="CLX36" s="49"/>
      <c r="CLY36" s="49"/>
      <c r="CLZ36" s="67">
        <f t="shared" si="1698"/>
        <v>0</v>
      </c>
      <c r="CMA36" s="68">
        <f t="shared" si="1699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700"/>
        <v>200</v>
      </c>
      <c r="CMI36" s="68">
        <f t="shared" si="1701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702"/>
        <v>218</v>
      </c>
      <c r="CMQ36" s="68">
        <f t="shared" si="1703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704"/>
        <v>329</v>
      </c>
      <c r="CMY36" s="68">
        <f t="shared" si="1705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706"/>
        <v>157</v>
      </c>
      <c r="CNG36" s="68">
        <f t="shared" si="1707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708"/>
        <v>222</v>
      </c>
      <c r="CNO36" s="68">
        <f t="shared" si="1709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710"/>
        <v>110</v>
      </c>
      <c r="CNW36" s="68">
        <f t="shared" si="1711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12"/>
        <v>110</v>
      </c>
      <c r="COE36" s="68">
        <f t="shared" si="1713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14"/>
        <v>159</v>
      </c>
      <c r="COM36" s="68">
        <f t="shared" si="1715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16"/>
        <v>109</v>
      </c>
      <c r="COU36" s="68">
        <f t="shared" si="1717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18"/>
        <v>148</v>
      </c>
      <c r="CPC36" s="68">
        <f t="shared" si="1719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20"/>
        <v>225</v>
      </c>
      <c r="CPK36" s="68">
        <f t="shared" si="1721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22"/>
        <v>0</v>
      </c>
      <c r="CPS36" s="68">
        <f t="shared" si="1723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24"/>
        <v>285</v>
      </c>
      <c r="CQA36" s="68">
        <f t="shared" si="1725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26"/>
        <v>0</v>
      </c>
      <c r="CQI36" s="68">
        <f t="shared" si="1727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28"/>
        <v>338</v>
      </c>
      <c r="CQQ36" s="68">
        <f t="shared" si="1729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30"/>
        <v>221</v>
      </c>
      <c r="CQY36" s="68">
        <f t="shared" si="1731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32"/>
        <v>221</v>
      </c>
      <c r="CRG36" s="68">
        <f t="shared" si="1733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34"/>
        <v>223</v>
      </c>
      <c r="CRO36" s="68">
        <f t="shared" si="1735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36"/>
        <v>222</v>
      </c>
      <c r="CRW36" s="68">
        <f t="shared" si="1737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38"/>
        <v>0</v>
      </c>
      <c r="CSE36" s="68">
        <f t="shared" si="1739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398</v>
      </c>
      <c r="CSL36" s="64">
        <f t="shared" si="1740"/>
        <v>720</v>
      </c>
      <c r="CSM36" s="68">
        <f t="shared" si="1741"/>
        <v>120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42"/>
        <v>110</v>
      </c>
      <c r="CSU36" s="68">
        <f t="shared" si="1743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44"/>
        <v>219</v>
      </c>
      <c r="CTC36" s="68">
        <f t="shared" si="1745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46"/>
        <v>0</v>
      </c>
      <c r="CTK36" s="68">
        <f t="shared" si="1747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48"/>
        <v>110</v>
      </c>
      <c r="CTS36" s="68">
        <f t="shared" si="1749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50"/>
        <v>110</v>
      </c>
      <c r="CUA36" s="68">
        <f t="shared" si="1751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52"/>
        <v>111</v>
      </c>
      <c r="CUI36" s="68">
        <f t="shared" si="1753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54"/>
        <v>219</v>
      </c>
      <c r="CUQ36" s="68">
        <f t="shared" si="1755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56"/>
        <v>111</v>
      </c>
      <c r="CUY36" s="68">
        <f t="shared" si="1757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58"/>
        <v>220</v>
      </c>
      <c r="CVG36" s="68">
        <f t="shared" si="1759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60"/>
        <v>188</v>
      </c>
      <c r="CVO36" s="68">
        <f t="shared" si="1761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62"/>
        <v>221</v>
      </c>
      <c r="CVW36" s="68">
        <f t="shared" si="1763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64"/>
        <v>210</v>
      </c>
      <c r="CWE36" s="68">
        <f t="shared" si="1765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66"/>
        <v>220</v>
      </c>
      <c r="CWM36" s="68">
        <f t="shared" si="1767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68"/>
        <v>330</v>
      </c>
      <c r="CWU36" s="68">
        <f t="shared" si="1769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70"/>
        <v>333</v>
      </c>
      <c r="CXC36" s="43">
        <f t="shared" si="1771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72"/>
        <v>109</v>
      </c>
      <c r="CXK36" s="43">
        <f t="shared" si="1773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74"/>
        <v>440</v>
      </c>
      <c r="CXS36" s="43">
        <f t="shared" si="1775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76"/>
        <v>0</v>
      </c>
      <c r="CYA36" s="43">
        <f t="shared" si="1777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78"/>
        <v>222</v>
      </c>
      <c r="CYI36" s="43">
        <f t="shared" si="1779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80"/>
        <v>441</v>
      </c>
      <c r="CYQ36" s="43">
        <f t="shared" si="1781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82"/>
        <v>739</v>
      </c>
      <c r="CYY36" s="43">
        <f t="shared" si="1783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84"/>
        <v>374</v>
      </c>
      <c r="CZG36" s="43">
        <f t="shared" si="1785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86"/>
        <v>881</v>
      </c>
      <c r="CZO36" s="43">
        <f t="shared" si="1787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88"/>
        <v>328</v>
      </c>
      <c r="CZW36" s="43">
        <f t="shared" si="1789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90"/>
        <v>452</v>
      </c>
      <c r="DAE36" s="68">
        <f t="shared" si="1791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92"/>
        <v>467</v>
      </c>
      <c r="DAM36" s="68">
        <f t="shared" si="1793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94"/>
        <v>110</v>
      </c>
      <c r="DAU36" s="68">
        <f t="shared" si="1795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96"/>
        <v>333</v>
      </c>
      <c r="DBC36" s="68">
        <f t="shared" si="1797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98"/>
        <v>347</v>
      </c>
      <c r="DBK36" s="68">
        <f t="shared" si="1799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800"/>
        <v>651</v>
      </c>
      <c r="DBS36" s="68">
        <f t="shared" si="1801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802"/>
        <v>112</v>
      </c>
      <c r="DCA36" s="68">
        <f t="shared" si="1803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804"/>
        <v>225</v>
      </c>
      <c r="DCI36" s="68">
        <f t="shared" si="1805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806"/>
        <v>114</v>
      </c>
      <c r="DCQ36" s="68">
        <f t="shared" si="1807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808"/>
        <v>1009</v>
      </c>
      <c r="DCY36" s="68">
        <f t="shared" si="1809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810"/>
        <v>226</v>
      </c>
      <c r="DDG36" s="68">
        <f t="shared" si="1811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12"/>
        <v>552</v>
      </c>
      <c r="DDO36" s="43">
        <f t="shared" si="1813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14"/>
        <v>1264</v>
      </c>
      <c r="DDW36" s="43">
        <f t="shared" si="1815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16"/>
        <v>717</v>
      </c>
      <c r="DEE36" s="43">
        <f t="shared" si="1817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398</v>
      </c>
      <c r="DEL36" s="127">
        <f t="shared" si="1818"/>
        <v>987</v>
      </c>
      <c r="DEM36" s="43">
        <f t="shared" si="1819"/>
        <v>164.5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20"/>
        <v>1549</v>
      </c>
      <c r="DEU36" s="43">
        <f t="shared" si="1821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22"/>
        <v>548</v>
      </c>
      <c r="DFC36" s="43">
        <f t="shared" si="1823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24"/>
        <v>520</v>
      </c>
      <c r="DFK36" s="43">
        <f t="shared" si="1825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26"/>
        <v>1519</v>
      </c>
      <c r="DFS36" s="68">
        <f t="shared" si="1827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28"/>
        <v>0</v>
      </c>
      <c r="DGA36" s="43">
        <f t="shared" si="1829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30"/>
        <v>1364</v>
      </c>
      <c r="DGI36" s="43">
        <f t="shared" si="1831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32"/>
        <v>818</v>
      </c>
      <c r="DGQ36" s="68">
        <f t="shared" si="1833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34"/>
        <v>223</v>
      </c>
      <c r="DGY36" s="68">
        <f t="shared" si="1835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36"/>
        <v>1086</v>
      </c>
      <c r="DHG36" s="68">
        <f t="shared" si="1837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38"/>
        <v>687</v>
      </c>
      <c r="DHO36" s="68">
        <f t="shared" si="1839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40"/>
        <v>442</v>
      </c>
      <c r="DHW36" s="68">
        <f t="shared" si="1841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42"/>
        <v>107</v>
      </c>
      <c r="DIE36" s="68">
        <f t="shared" si="1843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44"/>
        <v>110</v>
      </c>
      <c r="DIM36" s="68">
        <f t="shared" si="1845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46"/>
        <v>220</v>
      </c>
      <c r="DIU36" s="68">
        <f t="shared" si="1847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48"/>
        <v>442</v>
      </c>
      <c r="DJC36" s="68">
        <f t="shared" si="1849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50"/>
        <v>899</v>
      </c>
      <c r="DJK36" s="68">
        <f t="shared" si="1851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52"/>
        <v>578</v>
      </c>
      <c r="DJS36" s="68">
        <f t="shared" si="1853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54"/>
        <v>106</v>
      </c>
      <c r="DKA36" s="68">
        <f t="shared" si="1855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56"/>
        <v>623</v>
      </c>
      <c r="DKI36" s="68">
        <f t="shared" si="1857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58"/>
        <v>110</v>
      </c>
      <c r="DKQ36" s="68">
        <f t="shared" si="1859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60"/>
        <v>564</v>
      </c>
      <c r="DKY36" s="68">
        <f t="shared" si="1861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62"/>
        <v>653</v>
      </c>
      <c r="DLG36" s="68">
        <f t="shared" si="1863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64"/>
        <v>329</v>
      </c>
      <c r="DLO36" s="68">
        <f t="shared" si="1865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66"/>
        <v>548</v>
      </c>
      <c r="DLW36" s="68">
        <f t="shared" si="1867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68"/>
        <v>539</v>
      </c>
      <c r="DME36" s="68">
        <f t="shared" si="1869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70"/>
        <v>1131</v>
      </c>
      <c r="DMM36" s="68">
        <f t="shared" si="1871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72"/>
        <v>109</v>
      </c>
      <c r="DMU36" s="68">
        <f t="shared" si="1873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74"/>
        <v>1337</v>
      </c>
      <c r="DNC36" s="68">
        <f t="shared" si="1875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76"/>
        <v>732</v>
      </c>
      <c r="DNK36" s="68">
        <f t="shared" si="1877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78"/>
        <v>519</v>
      </c>
      <c r="DNS36" s="68">
        <f t="shared" si="1879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80"/>
        <v>220</v>
      </c>
      <c r="DOA36" s="68">
        <f t="shared" si="1881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82"/>
        <v>1210</v>
      </c>
      <c r="DOI36" s="68">
        <f t="shared" si="1883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84"/>
        <v>1718</v>
      </c>
      <c r="DOQ36" s="68">
        <f t="shared" si="1885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86"/>
        <v>0</v>
      </c>
      <c r="DOY36" s="68">
        <f t="shared" si="1887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88"/>
        <v>330</v>
      </c>
      <c r="DPG36" s="68">
        <f t="shared" si="1889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90"/>
        <v>329</v>
      </c>
      <c r="DPO36" s="68">
        <f t="shared" si="1891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92"/>
        <v>401</v>
      </c>
      <c r="DPW36" s="492">
        <f t="shared" si="1893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94"/>
        <v>1481</v>
      </c>
      <c r="DQE36" s="492">
        <f t="shared" si="1895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96"/>
        <v>1983</v>
      </c>
      <c r="DQM36" s="492">
        <f t="shared" si="1897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98"/>
        <v>700</v>
      </c>
      <c r="DQU36" s="68">
        <f t="shared" si="1899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900"/>
        <v>440</v>
      </c>
      <c r="DRC36" s="492">
        <f t="shared" si="1901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902"/>
        <v>330</v>
      </c>
      <c r="DRK36" s="492">
        <f t="shared" si="1903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99"/>
        <v>1890</v>
      </c>
      <c r="DRS36" s="68">
        <f t="shared" si="1600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601"/>
        <v>0</v>
      </c>
      <c r="DSA36" s="68">
        <f t="shared" si="1602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603"/>
        <v>1210</v>
      </c>
      <c r="DSI36" s="68">
        <f t="shared" si="1604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605"/>
        <v>312</v>
      </c>
      <c r="DSQ36" s="68">
        <f t="shared" si="1606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607"/>
        <v>0</v>
      </c>
      <c r="DSY36" s="68">
        <f t="shared" si="1608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609"/>
        <v>1180</v>
      </c>
      <c r="DTG36" s="68">
        <f t="shared" si="1610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611"/>
        <v>438</v>
      </c>
      <c r="DTO36" s="68">
        <f t="shared" si="1612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13"/>
        <v>1800</v>
      </c>
      <c r="DTW36" s="68">
        <f t="shared" si="1614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15"/>
        <v>403</v>
      </c>
      <c r="DUE36" s="68">
        <f t="shared" si="1616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17"/>
        <v>0</v>
      </c>
      <c r="DUM36" s="68">
        <f t="shared" si="1618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19"/>
        <v>332</v>
      </c>
      <c r="DUU36" s="68">
        <f t="shared" si="1620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21"/>
        <v>553</v>
      </c>
      <c r="DVC36" s="68">
        <f t="shared" si="1622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23"/>
        <v>220</v>
      </c>
      <c r="DVK36" s="68">
        <f t="shared" si="1624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25"/>
        <v>224</v>
      </c>
      <c r="DVS36" s="68">
        <f t="shared" si="1626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27"/>
        <v>774</v>
      </c>
      <c r="DWA36" s="68">
        <f t="shared" si="1628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29"/>
        <v>220</v>
      </c>
      <c r="DWI36" s="68">
        <f t="shared" si="1630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31"/>
        <v>329</v>
      </c>
      <c r="DWQ36" s="68">
        <f t="shared" si="1632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33"/>
        <v>331</v>
      </c>
      <c r="DWY36" s="68">
        <f t="shared" si="1634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35"/>
        <v>223</v>
      </c>
      <c r="DXG36" s="68">
        <f t="shared" si="1636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37"/>
        <v>441</v>
      </c>
      <c r="DXO36" s="68">
        <f t="shared" si="1638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8"/>
        <v>247</v>
      </c>
      <c r="DXW36" s="68">
        <f t="shared" si="1329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30"/>
        <v>331</v>
      </c>
      <c r="DYE36" s="68">
        <f t="shared" si="1331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32"/>
        <v>550</v>
      </c>
      <c r="DYM36" s="68">
        <f t="shared" si="1333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34"/>
        <v>0</v>
      </c>
      <c r="DYU36" s="68">
        <f t="shared" si="1335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36"/>
        <v>557</v>
      </c>
      <c r="DZC36" s="68">
        <f t="shared" si="1337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8"/>
        <v>558</v>
      </c>
      <c r="DZK36" s="68">
        <f t="shared" si="1339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40"/>
        <v>92</v>
      </c>
      <c r="DZS36" s="68">
        <f t="shared" si="1341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42"/>
        <v>740</v>
      </c>
      <c r="EAA36" s="68">
        <f t="shared" si="1343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44"/>
        <v>219</v>
      </c>
      <c r="EAI36" s="68">
        <f t="shared" si="1345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46"/>
        <v>444</v>
      </c>
      <c r="EAQ36" s="68">
        <f t="shared" si="1347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8"/>
        <v>362</v>
      </c>
      <c r="EAY36" s="68">
        <f t="shared" si="1349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50"/>
        <v>112</v>
      </c>
      <c r="EBG36" s="68">
        <f t="shared" si="1351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52"/>
        <v>112</v>
      </c>
      <c r="EBO36" s="68">
        <f t="shared" si="1353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54"/>
        <v>448</v>
      </c>
      <c r="EBW36" s="68">
        <f t="shared" si="1355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56"/>
        <v>968</v>
      </c>
      <c r="ECE36" s="68">
        <f t="shared" si="1357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8"/>
        <v>220</v>
      </c>
      <c r="ECM36" s="68">
        <f t="shared" si="1359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60"/>
        <v>329</v>
      </c>
      <c r="ECU36" s="68">
        <f t="shared" si="1361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62"/>
        <v>330</v>
      </c>
      <c r="EDC36" s="68">
        <f t="shared" si="1363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64"/>
        <v>552</v>
      </c>
      <c r="EDK36" s="68">
        <f t="shared" si="1365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6"/>
        <v>0</v>
      </c>
      <c r="EDS36" s="68">
        <f t="shared" si="1367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8"/>
        <v>438</v>
      </c>
      <c r="EEA36" s="68">
        <f t="shared" si="1369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70"/>
        <v>442</v>
      </c>
      <c r="EEI36" s="68">
        <f t="shared" si="1371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72"/>
        <v>0</v>
      </c>
      <c r="EEQ36" s="68">
        <f t="shared" si="1373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74"/>
        <v>220</v>
      </c>
      <c r="EEY36" s="68">
        <f t="shared" si="1375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76"/>
        <v>229</v>
      </c>
      <c r="EFG36" s="68">
        <f t="shared" si="1377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8"/>
        <v>344</v>
      </c>
      <c r="EFO36" s="68">
        <f t="shared" si="1379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80"/>
        <v>229</v>
      </c>
      <c r="EFW36" s="68">
        <f t="shared" si="1381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82"/>
        <v>220</v>
      </c>
      <c r="EGE36" s="68">
        <f t="shared" si="1383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4"/>
        <v>341</v>
      </c>
      <c r="EGM36" s="68">
        <f t="shared" si="1385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86"/>
        <v>788</v>
      </c>
      <c r="EGU36" s="68">
        <f t="shared" si="1387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8"/>
        <v>220</v>
      </c>
      <c r="EHC36" s="68">
        <f t="shared" si="1389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90"/>
        <v>329</v>
      </c>
      <c r="EHK36" s="68">
        <f t="shared" si="1391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92"/>
        <v>671</v>
      </c>
      <c r="EHS36" s="68">
        <f t="shared" si="1393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94"/>
        <v>330</v>
      </c>
      <c r="EIA36" s="68">
        <f t="shared" si="1395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96"/>
        <v>609</v>
      </c>
      <c r="EII36" s="68">
        <f t="shared" si="1397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8"/>
        <v>440</v>
      </c>
      <c r="EIQ36" s="68">
        <f t="shared" si="1399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400"/>
        <v>402</v>
      </c>
      <c r="EIY36" s="68">
        <f t="shared" si="1401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402"/>
        <v>940</v>
      </c>
      <c r="EJG36" s="68">
        <f t="shared" si="1403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404"/>
        <v>220</v>
      </c>
      <c r="EJO36" s="68">
        <f t="shared" si="1405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406"/>
        <v>879</v>
      </c>
      <c r="EJW36" s="68">
        <f t="shared" si="1407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8"/>
        <v>0</v>
      </c>
      <c r="EKE36" s="68">
        <f t="shared" si="1409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10"/>
        <v>0</v>
      </c>
      <c r="EKM36" s="68">
        <f t="shared" si="1411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12"/>
        <v>439</v>
      </c>
      <c r="EKU36" s="184">
        <f t="shared" si="1413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14"/>
        <v>250</v>
      </c>
      <c r="ELD36" s="211">
        <f t="shared" si="1415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6"/>
        <v>701</v>
      </c>
      <c r="ELL36" s="211">
        <f t="shared" si="1417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8"/>
        <v>977</v>
      </c>
      <c r="ELT36" s="211">
        <f t="shared" si="1419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20"/>
        <v>600</v>
      </c>
      <c r="EMB36" s="211">
        <f t="shared" si="1421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22"/>
        <v>1255</v>
      </c>
      <c r="EMJ36" s="211">
        <f t="shared" si="1423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24"/>
        <v>671</v>
      </c>
      <c r="EMR36" s="211">
        <f t="shared" si="1425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26"/>
        <v>1570</v>
      </c>
      <c r="EMZ36" s="211">
        <f t="shared" si="1427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8"/>
        <v>1133</v>
      </c>
      <c r="ENH36" s="211">
        <f t="shared" si="1429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30"/>
        <v>199</v>
      </c>
      <c r="ENP36" s="211">
        <f t="shared" si="1431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32"/>
        <v>220</v>
      </c>
      <c r="ENX36" s="211">
        <f t="shared" si="1433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34"/>
        <v>220</v>
      </c>
      <c r="EOF36" s="211">
        <f t="shared" si="1435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36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37"/>
        <v>0</v>
      </c>
      <c r="EOV36" s="211">
        <f t="shared" si="1438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9"/>
        <v>640</v>
      </c>
      <c r="EPD36" s="211">
        <f t="shared" si="1440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41"/>
        <v>0</v>
      </c>
      <c r="EPL36" s="211">
        <f t="shared" si="1442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43"/>
        <v>242</v>
      </c>
      <c r="EPT36" s="211">
        <f t="shared" si="1444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398</v>
      </c>
      <c r="EPZ36" s="49">
        <v>0</v>
      </c>
      <c r="EQA36" s="64">
        <f t="shared" si="1445"/>
        <v>398</v>
      </c>
      <c r="EQB36" s="211">
        <f t="shared" si="1446"/>
        <v>66.333333333333329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47"/>
        <v>222</v>
      </c>
      <c r="EQJ36" s="211">
        <f t="shared" si="1448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9"/>
        <v>330</v>
      </c>
      <c r="EQR36" s="211">
        <f t="shared" si="1450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51"/>
        <v>339</v>
      </c>
      <c r="EQZ36" s="211">
        <f t="shared" si="1452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53"/>
        <v>879</v>
      </c>
      <c r="ERH36" s="211">
        <f t="shared" si="1454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55"/>
        <v>227</v>
      </c>
      <c r="ERP36" s="211">
        <f t="shared" si="1456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57"/>
        <v>220</v>
      </c>
      <c r="ERX36" s="211">
        <f t="shared" si="1458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9"/>
        <v>372</v>
      </c>
      <c r="ESF36" s="211">
        <f t="shared" si="1460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61"/>
        <v>570</v>
      </c>
      <c r="ESN36" s="211">
        <f t="shared" si="1462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63"/>
        <v>0</v>
      </c>
      <c r="ESV36" s="211">
        <f t="shared" si="1464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5"/>
        <v>0</v>
      </c>
      <c r="ETD36" s="211">
        <f t="shared" si="1466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67"/>
        <v>683</v>
      </c>
      <c r="ETL36" s="211">
        <f t="shared" si="1468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9"/>
        <v>0</v>
      </c>
      <c r="ETT36" s="211">
        <f t="shared" si="1470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71"/>
        <v>914</v>
      </c>
      <c r="EUB36" s="211">
        <f t="shared" si="1472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73"/>
        <v>344</v>
      </c>
      <c r="EUJ36" s="211">
        <f t="shared" si="1474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5"/>
        <v>0</v>
      </c>
      <c r="EUR36" s="211">
        <f t="shared" si="1476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77"/>
        <v>6</v>
      </c>
      <c r="EUZ36" s="211">
        <f t="shared" si="1478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9"/>
        <v>113</v>
      </c>
      <c r="EVH36" s="211">
        <f t="shared" si="1480"/>
        <v>18.833333333333332</v>
      </c>
      <c r="EVI36" s="195">
        <v>0</v>
      </c>
      <c r="EVJ36" s="49">
        <v>0</v>
      </c>
      <c r="EVK36" s="49">
        <f>SUMIF(SUMPK!$B:$B,$B:$B,SUMPK!$O:$O)</f>
        <v>398</v>
      </c>
      <c r="EVL36" s="49"/>
      <c r="EVM36" s="49"/>
      <c r="EVN36" s="49">
        <v>0</v>
      </c>
      <c r="EVO36" s="808">
        <f t="shared" si="1481"/>
        <v>398</v>
      </c>
      <c r="EVP36" s="211">
        <f t="shared" si="1482"/>
        <v>66.333333333333329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83"/>
        <v>102</v>
      </c>
      <c r="EVX36" s="211">
        <f t="shared" si="1484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85"/>
        <v>115</v>
      </c>
      <c r="EWF36" s="211">
        <f t="shared" si="1486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87"/>
        <v>101</v>
      </c>
      <c r="EWN36" s="211">
        <f t="shared" si="1488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9"/>
        <v>0</v>
      </c>
      <c r="EWV36" s="211">
        <f t="shared" si="1490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91"/>
        <v>530</v>
      </c>
      <c r="EXD36" s="211">
        <f t="shared" si="1492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93"/>
        <v>0</v>
      </c>
      <c r="EXL36" s="211">
        <f t="shared" si="1494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5"/>
        <v>0</v>
      </c>
      <c r="EXT36" s="211">
        <f t="shared" si="1496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7"/>
        <v>40</v>
      </c>
      <c r="EYB36" s="211">
        <f t="shared" si="1498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9"/>
        <v>199</v>
      </c>
      <c r="EYJ36" s="211">
        <f t="shared" si="1500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501"/>
        <v>0</v>
      </c>
      <c r="EYR36" s="211">
        <f t="shared" si="1502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503"/>
        <v>110</v>
      </c>
      <c r="EYZ36" s="873">
        <f t="shared" si="1504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5"/>
        <v>100</v>
      </c>
      <c r="EZH36" s="873">
        <f t="shared" si="1506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>
        <v>399</v>
      </c>
      <c r="EZO36" s="872">
        <f t="shared" si="1507"/>
        <v>919</v>
      </c>
      <c r="EZP36" s="873">
        <f t="shared" si="1508"/>
        <v>153.16666666666666</v>
      </c>
      <c r="EZQ36" s="458">
        <v>0</v>
      </c>
      <c r="EZR36" s="83"/>
      <c r="EZS36" s="83">
        <v>0</v>
      </c>
      <c r="EZT36" s="83">
        <v>494</v>
      </c>
      <c r="EZU36" s="83">
        <v>0</v>
      </c>
      <c r="EZV36" s="83">
        <v>696</v>
      </c>
      <c r="EZW36" s="872">
        <f t="shared" si="1509"/>
        <v>1190</v>
      </c>
      <c r="EZX36" s="873">
        <f t="shared" si="1510"/>
        <v>198.33333333333334</v>
      </c>
      <c r="EZY36" s="195">
        <v>394</v>
      </c>
      <c r="EZZ36" s="49">
        <v>0</v>
      </c>
      <c r="FAA36" s="49"/>
      <c r="FAB36" s="49"/>
      <c r="FAC36" s="49"/>
      <c r="FAD36" s="49"/>
      <c r="FAE36" s="872">
        <f t="shared" si="1511"/>
        <v>394</v>
      </c>
      <c r="FAF36" s="873">
        <f t="shared" si="1512"/>
        <v>65.666666666666671</v>
      </c>
    </row>
    <row r="37" spans="1:4088" s="8" customFormat="1" ht="13.5" thickBot="1" x14ac:dyDescent="0.25">
      <c r="A37" s="21">
        <v>8</v>
      </c>
      <c r="B37" s="297" t="s">
        <v>34</v>
      </c>
      <c r="C37" s="725" t="s">
        <v>319</v>
      </c>
      <c r="D37" s="297">
        <v>25</v>
      </c>
      <c r="E37" s="24"/>
      <c r="F37" s="24">
        <v>1219</v>
      </c>
      <c r="G37" s="24"/>
      <c r="H37" s="24"/>
      <c r="I37" s="24"/>
      <c r="J37" s="360">
        <f>SUMIF(SUMPK!$B:$B,$B:$B,SUMPK!$O:$O)</f>
        <v>252</v>
      </c>
      <c r="K37" s="24">
        <f t="shared" si="1226"/>
        <v>0</v>
      </c>
      <c r="L37" s="24">
        <f t="shared" si="1517"/>
        <v>967</v>
      </c>
      <c r="M37" s="15">
        <f t="shared" si="1639"/>
        <v>967</v>
      </c>
      <c r="N37" s="15">
        <v>251.83333333333334</v>
      </c>
      <c r="O37" s="276">
        <f t="shared" si="1229"/>
        <v>3.8398411647915287</v>
      </c>
      <c r="P37" s="712">
        <v>36.5</v>
      </c>
      <c r="Q37" s="276">
        <f t="shared" si="1518"/>
        <v>158.95890410958904</v>
      </c>
      <c r="R37" s="277">
        <f t="shared" si="1519"/>
        <v>15.384615384615385</v>
      </c>
      <c r="S37" s="222">
        <v>400</v>
      </c>
      <c r="T37" s="276">
        <f t="shared" si="1640"/>
        <v>62.854999999999997</v>
      </c>
      <c r="U37" s="278"/>
      <c r="V37" s="276">
        <f t="shared" si="1233"/>
        <v>62.854999999999997</v>
      </c>
      <c r="W37" s="279">
        <f t="shared" si="1234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904"/>
        <v>0</v>
      </c>
      <c r="AK37" s="43">
        <f t="shared" si="1905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906"/>
        <v>1201</v>
      </c>
      <c r="AS37" s="43">
        <f t="shared" si="1907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908"/>
        <v>411</v>
      </c>
      <c r="BA37" s="43">
        <f t="shared" si="1909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910"/>
        <v>1192</v>
      </c>
      <c r="BI37" s="43">
        <f t="shared" si="1911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12"/>
        <v>783</v>
      </c>
      <c r="BQ37" s="43">
        <f t="shared" si="1913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14"/>
        <v>600</v>
      </c>
      <c r="BY37" s="43">
        <f t="shared" si="1915"/>
        <v>100</v>
      </c>
      <c r="BZ37" s="48"/>
      <c r="CA37" s="49"/>
      <c r="CB37" s="49"/>
      <c r="CC37" s="49"/>
      <c r="CD37" s="49"/>
      <c r="CE37" s="49"/>
      <c r="CF37" s="42">
        <f t="shared" si="1916"/>
        <v>0</v>
      </c>
      <c r="CG37" s="43">
        <f t="shared" si="1917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18"/>
        <v>758</v>
      </c>
      <c r="CO37" s="43">
        <f t="shared" si="1919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20"/>
        <v>1211</v>
      </c>
      <c r="CW37" s="43">
        <f t="shared" si="1921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22"/>
        <v>401</v>
      </c>
      <c r="DE37" s="43">
        <f t="shared" si="1923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24"/>
        <v>800</v>
      </c>
      <c r="DM37" s="43">
        <f t="shared" si="1925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26"/>
        <v>1395</v>
      </c>
      <c r="DU37" s="43">
        <f t="shared" si="1927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28"/>
        <v>201</v>
      </c>
      <c r="EC37" s="43">
        <f t="shared" si="1929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30"/>
        <v>1203</v>
      </c>
      <c r="EK37" s="43">
        <f t="shared" si="1931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32"/>
        <v>394</v>
      </c>
      <c r="ES37" s="43">
        <f t="shared" si="1933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34"/>
        <v>795</v>
      </c>
      <c r="FA37" s="43">
        <f t="shared" si="1935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36"/>
        <v>1225</v>
      </c>
      <c r="FI37" s="43">
        <f t="shared" si="1937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38"/>
        <v>400</v>
      </c>
      <c r="FQ37" s="43">
        <f t="shared" si="1939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40"/>
        <v>589</v>
      </c>
      <c r="FY37" s="43">
        <f t="shared" si="1941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42"/>
        <v>1202</v>
      </c>
      <c r="GG37" s="43">
        <f t="shared" si="1943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44"/>
        <v>809</v>
      </c>
      <c r="GO37" s="43">
        <f t="shared" si="1945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46"/>
        <v>790</v>
      </c>
      <c r="GW37" s="43">
        <f t="shared" si="1947"/>
        <v>131.66666666666666</v>
      </c>
      <c r="GX37" s="48"/>
      <c r="GY37" s="49"/>
      <c r="GZ37" s="49"/>
      <c r="HA37" s="49"/>
      <c r="HB37" s="49"/>
      <c r="HC37" s="49"/>
      <c r="HD37" s="42">
        <f t="shared" si="1948"/>
        <v>0</v>
      </c>
      <c r="HE37" s="43">
        <f t="shared" si="1949"/>
        <v>0</v>
      </c>
      <c r="HF37" s="48"/>
      <c r="HG37" s="49"/>
      <c r="HH37" s="49"/>
      <c r="HI37" s="49"/>
      <c r="HJ37" s="49"/>
      <c r="HK37" s="49">
        <v>780</v>
      </c>
      <c r="HL37" s="42">
        <f t="shared" si="1950"/>
        <v>780</v>
      </c>
      <c r="HM37" s="43">
        <f t="shared" si="1951"/>
        <v>130</v>
      </c>
      <c r="HN37" s="82"/>
      <c r="HO37" s="83"/>
      <c r="HP37" s="83">
        <v>302</v>
      </c>
      <c r="HQ37" s="83"/>
      <c r="HR37" s="83"/>
      <c r="HS37" s="83"/>
      <c r="HT37" s="42">
        <f t="shared" si="1952"/>
        <v>302</v>
      </c>
      <c r="HU37" s="43">
        <f t="shared" si="1953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54"/>
        <v>1211</v>
      </c>
      <c r="IC37" s="43">
        <f t="shared" si="1955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56"/>
        <v>193</v>
      </c>
      <c r="IK37" s="43">
        <f t="shared" si="1957"/>
        <v>32.166666666666664</v>
      </c>
      <c r="IL37" s="48"/>
      <c r="IM37" s="49"/>
      <c r="IN37" s="49"/>
      <c r="IO37" s="49"/>
      <c r="IP37" s="49"/>
      <c r="IQ37" s="49"/>
      <c r="IR37" s="67">
        <f t="shared" si="1958"/>
        <v>0</v>
      </c>
      <c r="IS37" s="68">
        <f t="shared" si="1959"/>
        <v>0</v>
      </c>
      <c r="IT37" s="48">
        <v>195</v>
      </c>
      <c r="IU37" s="49"/>
      <c r="IV37" s="49"/>
      <c r="IW37" s="49"/>
      <c r="IX37" s="49"/>
      <c r="IY37" s="49"/>
      <c r="IZ37" s="67">
        <f t="shared" si="1960"/>
        <v>195</v>
      </c>
      <c r="JA37" s="68">
        <f t="shared" si="1961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62"/>
        <v>405</v>
      </c>
      <c r="JI37" s="68">
        <f t="shared" si="1963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64"/>
        <v>405</v>
      </c>
      <c r="JQ37" s="43">
        <f t="shared" si="1965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66"/>
        <v>814</v>
      </c>
      <c r="JY37" s="43">
        <f t="shared" si="1967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68"/>
        <v>1021</v>
      </c>
      <c r="KG37" s="43">
        <f t="shared" si="1969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70"/>
        <v>800</v>
      </c>
      <c r="KO37" s="68">
        <f t="shared" si="1971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72"/>
        <v>765</v>
      </c>
      <c r="KW37" s="68">
        <f t="shared" si="1973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74"/>
        <v>400</v>
      </c>
      <c r="LE37" s="68">
        <f t="shared" si="1975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76"/>
        <v>699</v>
      </c>
      <c r="LM37" s="68">
        <f t="shared" si="1977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78"/>
        <v>405</v>
      </c>
      <c r="LU37" s="68">
        <f t="shared" si="1979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80"/>
        <v>700</v>
      </c>
      <c r="MC37" s="68">
        <f t="shared" si="1981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82"/>
        <v>299</v>
      </c>
      <c r="MK37" s="68">
        <f t="shared" si="1983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84"/>
        <v>400</v>
      </c>
      <c r="MS37" s="68">
        <f t="shared" si="1985"/>
        <v>66.666666666666671</v>
      </c>
      <c r="MT37" s="48"/>
      <c r="MU37" s="49"/>
      <c r="MV37" s="49"/>
      <c r="MW37" s="49"/>
      <c r="MX37" s="49"/>
      <c r="MY37" s="49"/>
      <c r="MZ37" s="67">
        <f t="shared" si="1986"/>
        <v>0</v>
      </c>
      <c r="NA37" s="68">
        <f t="shared" si="1987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88"/>
        <v>1261</v>
      </c>
      <c r="NI37" s="68">
        <f t="shared" si="1989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90"/>
        <v>200</v>
      </c>
      <c r="NQ37" s="68">
        <f t="shared" si="1991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92"/>
        <v>299</v>
      </c>
      <c r="NY37" s="68">
        <f t="shared" si="1993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94"/>
        <v>1608</v>
      </c>
      <c r="OG37" s="68">
        <f t="shared" si="1995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96"/>
        <v>786</v>
      </c>
      <c r="OO37" s="68">
        <f t="shared" si="1997"/>
        <v>131</v>
      </c>
      <c r="OP37" s="48"/>
      <c r="OQ37" s="49"/>
      <c r="OR37" s="49"/>
      <c r="OS37" s="49"/>
      <c r="OT37" s="49"/>
      <c r="OU37" s="49"/>
      <c r="OV37" s="67">
        <f t="shared" si="1998"/>
        <v>0</v>
      </c>
      <c r="OW37" s="68">
        <f t="shared" si="1999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2000"/>
        <v>980</v>
      </c>
      <c r="PE37" s="68">
        <f t="shared" si="2001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2002"/>
        <v>405</v>
      </c>
      <c r="PM37" s="68">
        <f t="shared" si="2003"/>
        <v>67.5</v>
      </c>
      <c r="PN37" s="48"/>
      <c r="PO37" s="49"/>
      <c r="PP37" s="49"/>
      <c r="PQ37" s="49"/>
      <c r="PR37" s="49"/>
      <c r="PS37" s="49"/>
      <c r="PT37" s="67">
        <f t="shared" si="2004"/>
        <v>0</v>
      </c>
      <c r="PU37" s="68">
        <f t="shared" si="2005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2006"/>
        <v>590</v>
      </c>
      <c r="QC37" s="105">
        <f t="shared" si="2007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2008"/>
        <v>605</v>
      </c>
      <c r="QK37" s="105">
        <f t="shared" si="2009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2010"/>
        <v>403</v>
      </c>
      <c r="QS37" s="105">
        <f t="shared" si="2011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12"/>
        <v>400</v>
      </c>
      <c r="RA37" s="105">
        <f t="shared" si="2013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14"/>
        <v>1200</v>
      </c>
      <c r="RI37" s="105">
        <f t="shared" si="2015"/>
        <v>200</v>
      </c>
      <c r="RJ37" s="106"/>
      <c r="RK37" s="107"/>
      <c r="RL37" s="107"/>
      <c r="RM37" s="107"/>
      <c r="RN37" s="107"/>
      <c r="RO37" s="107"/>
      <c r="RP37" s="104">
        <f t="shared" si="2016"/>
        <v>0</v>
      </c>
      <c r="RQ37" s="105">
        <f t="shared" si="2017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18"/>
        <v>597</v>
      </c>
      <c r="RY37" s="105">
        <f t="shared" si="2019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20"/>
        <v>307</v>
      </c>
      <c r="SG37" s="105">
        <f t="shared" si="2021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22"/>
        <v>677</v>
      </c>
      <c r="SO37" s="105">
        <f t="shared" si="2023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24"/>
        <v>299</v>
      </c>
      <c r="SW37" s="105">
        <f t="shared" si="2025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26"/>
        <v>789</v>
      </c>
      <c r="TE37" s="105">
        <f t="shared" si="2027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28"/>
        <v>212</v>
      </c>
      <c r="TM37" s="105">
        <f t="shared" si="2029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30"/>
        <v>303</v>
      </c>
      <c r="TU37" s="105">
        <f t="shared" si="2031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32"/>
        <v>1000</v>
      </c>
      <c r="UC37" s="105">
        <f t="shared" si="2033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34"/>
        <v>400</v>
      </c>
      <c r="UK37" s="105">
        <f t="shared" si="2035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91"/>
        <v>399</v>
      </c>
      <c r="UT37" s="105">
        <f t="shared" si="2036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37"/>
        <v>603</v>
      </c>
      <c r="VB37" s="105">
        <f t="shared" si="2038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39"/>
        <v>386</v>
      </c>
      <c r="VJ37" s="105">
        <f t="shared" si="2040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41"/>
        <v>406</v>
      </c>
      <c r="VR37" s="68">
        <f t="shared" si="2042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43"/>
        <v>389</v>
      </c>
      <c r="VZ37" s="105">
        <f t="shared" si="2044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45"/>
        <v>503</v>
      </c>
      <c r="WH37" s="68">
        <f t="shared" si="2046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47"/>
        <v>200</v>
      </c>
      <c r="WP37" s="105">
        <f t="shared" si="2048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49"/>
        <v>837</v>
      </c>
      <c r="WY37" s="68">
        <f t="shared" si="2050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51"/>
        <v>302</v>
      </c>
      <c r="XH37" s="68">
        <f t="shared" si="2052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53"/>
        <v>303</v>
      </c>
      <c r="XQ37" s="68">
        <f t="shared" si="2054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55"/>
        <v>574</v>
      </c>
      <c r="XZ37" s="68">
        <f t="shared" si="2056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57"/>
        <v>193</v>
      </c>
      <c r="YI37" s="68">
        <f t="shared" si="2058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59"/>
        <v>200</v>
      </c>
      <c r="YR37" s="68">
        <f t="shared" si="2060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61"/>
        <v>824</v>
      </c>
      <c r="YZ37" s="68">
        <f t="shared" si="2062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63"/>
        <v>917</v>
      </c>
      <c r="ZH37" s="68">
        <f t="shared" si="2064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65"/>
        <v>412</v>
      </c>
      <c r="ZP37" s="68">
        <f t="shared" si="2066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67"/>
        <v>799</v>
      </c>
      <c r="ZY37" s="70">
        <f t="shared" si="2068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69"/>
        <v>1100</v>
      </c>
      <c r="AAH37" s="68">
        <f t="shared" si="2070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71"/>
        <v>400</v>
      </c>
      <c r="AAP37" s="68">
        <f t="shared" si="2072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73"/>
        <v>816</v>
      </c>
      <c r="AAX37" s="68">
        <f t="shared" si="2074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75"/>
        <v>403</v>
      </c>
      <c r="ABF37" s="68">
        <f t="shared" si="2076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77"/>
        <v>797</v>
      </c>
      <c r="ABN37" s="68">
        <f t="shared" si="2078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79"/>
        <v>424</v>
      </c>
      <c r="ABV37" s="68">
        <f t="shared" si="2080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81"/>
        <v>845</v>
      </c>
      <c r="ACD37" s="68">
        <f t="shared" si="2082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83"/>
        <v>310</v>
      </c>
      <c r="ACL37" s="68">
        <f t="shared" si="2084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85"/>
        <v>345</v>
      </c>
      <c r="ACT37" s="68">
        <f t="shared" si="2086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87"/>
        <v>828</v>
      </c>
      <c r="ADB37" s="68">
        <f t="shared" si="2088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89"/>
        <v>598</v>
      </c>
      <c r="ADJ37" s="68">
        <f t="shared" si="2090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91"/>
        <v>401</v>
      </c>
      <c r="ADR37" s="68">
        <f t="shared" si="2092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93"/>
        <v>734</v>
      </c>
      <c r="ADZ37" s="68">
        <f t="shared" si="2094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95"/>
        <v>300</v>
      </c>
      <c r="AEH37" s="68">
        <f t="shared" si="2096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97"/>
        <v>399</v>
      </c>
      <c r="AEP37" s="68">
        <f t="shared" si="2098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99"/>
        <v>840</v>
      </c>
      <c r="AEX37" s="68">
        <f t="shared" si="2100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101"/>
        <v>209</v>
      </c>
      <c r="AFF37" s="68">
        <f t="shared" si="2102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103"/>
        <v>547</v>
      </c>
      <c r="AFN37" s="68">
        <f t="shared" si="2104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105"/>
        <v>414</v>
      </c>
      <c r="AFV37" s="68">
        <f t="shared" si="2106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107"/>
        <v>402</v>
      </c>
      <c r="AGD37" s="68">
        <f t="shared" si="2108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109"/>
        <v>200</v>
      </c>
      <c r="AGL37" s="68">
        <f t="shared" si="2110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111"/>
        <v>358</v>
      </c>
      <c r="AGU37" s="68">
        <f t="shared" si="2112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13"/>
        <v>218</v>
      </c>
      <c r="AHC37" s="68">
        <f t="shared" si="2114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15"/>
        <v>499</v>
      </c>
      <c r="AHK37" s="68">
        <f t="shared" si="2116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17"/>
        <v>100</v>
      </c>
      <c r="AHS37" s="68">
        <f t="shared" si="2118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19"/>
        <v>799</v>
      </c>
      <c r="AIA37" s="68">
        <f t="shared" si="2120"/>
        <v>27.551724137931036</v>
      </c>
      <c r="AIB37" s="48"/>
      <c r="AIC37" s="49"/>
      <c r="AID37" s="49"/>
      <c r="AIE37" s="49"/>
      <c r="AIF37" s="49"/>
      <c r="AIG37" s="49"/>
      <c r="AIH37" s="67">
        <f t="shared" si="2121"/>
        <v>0</v>
      </c>
      <c r="AII37" s="68">
        <f t="shared" si="2122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23"/>
        <v>394</v>
      </c>
      <c r="AIQ37" s="68">
        <f t="shared" si="2124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25"/>
        <v>322</v>
      </c>
      <c r="AIY37" s="68">
        <f t="shared" si="2126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27"/>
        <v>204</v>
      </c>
      <c r="AJG37" s="68">
        <f t="shared" si="2128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29"/>
        <v>276</v>
      </c>
      <c r="AJO37" s="43">
        <f t="shared" si="2130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31"/>
        <v>180</v>
      </c>
      <c r="AJW37" s="43">
        <f t="shared" si="2132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33"/>
        <v>504</v>
      </c>
      <c r="AKE37" s="68">
        <f t="shared" si="2134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35"/>
        <v>419</v>
      </c>
      <c r="AKM37" s="184">
        <f t="shared" si="2136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37"/>
        <v>523</v>
      </c>
      <c r="AKU37" s="184">
        <f t="shared" si="2138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39"/>
        <v>202</v>
      </c>
      <c r="ALC37" s="68">
        <f t="shared" si="2140"/>
        <v>33.666666666666664</v>
      </c>
      <c r="ALD37" s="48"/>
      <c r="ALE37" s="49"/>
      <c r="ALF37" s="49"/>
      <c r="ALG37" s="49"/>
      <c r="ALH37" s="49"/>
      <c r="ALI37" s="49"/>
      <c r="ALJ37" s="67">
        <f t="shared" si="2141"/>
        <v>0</v>
      </c>
      <c r="ALK37" s="68">
        <f t="shared" si="2142"/>
        <v>0</v>
      </c>
      <c r="ALL37" s="48"/>
      <c r="ALM37" s="49"/>
      <c r="ALN37" s="49"/>
      <c r="ALO37" s="49"/>
      <c r="ALP37" s="49"/>
      <c r="ALQ37" s="49"/>
      <c r="ALR37" s="67">
        <f t="shared" si="2143"/>
        <v>0</v>
      </c>
      <c r="ALS37" s="68">
        <f t="shared" si="2144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45"/>
        <v>286</v>
      </c>
      <c r="AMA37" s="68">
        <f t="shared" si="2146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47"/>
        <v>99</v>
      </c>
      <c r="AMI37" s="68">
        <f t="shared" si="2148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49"/>
        <v>200</v>
      </c>
      <c r="AMQ37" s="68">
        <f t="shared" si="2150"/>
        <v>33.333333333333336</v>
      </c>
      <c r="AMR37" s="48"/>
      <c r="AMS37" s="49"/>
      <c r="AMT37" s="49"/>
      <c r="AMU37" s="49"/>
      <c r="AMV37" s="49"/>
      <c r="AMW37" s="49"/>
      <c r="AMX37" s="67">
        <f t="shared" si="2151"/>
        <v>0</v>
      </c>
      <c r="AMY37" s="68">
        <f t="shared" si="2152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53"/>
        <v>400</v>
      </c>
      <c r="ANG37" s="68">
        <f t="shared" si="2154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55"/>
        <v>200</v>
      </c>
      <c r="ANO37" s="68">
        <f t="shared" si="2156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57"/>
        <v>802</v>
      </c>
      <c r="ANW37" s="68">
        <f t="shared" si="2158"/>
        <v>133.66666666666666</v>
      </c>
      <c r="ANX37" s="82"/>
      <c r="ANY37" s="83"/>
      <c r="ANZ37" s="83"/>
      <c r="AOA37" s="83"/>
      <c r="AOB37" s="83"/>
      <c r="AOC37" s="83"/>
      <c r="AOD37" s="67">
        <f t="shared" si="2159"/>
        <v>0</v>
      </c>
      <c r="AOE37" s="68">
        <f t="shared" si="2160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61"/>
        <v>399</v>
      </c>
      <c r="AOM37" s="68">
        <f t="shared" si="2162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63"/>
        <v>200</v>
      </c>
      <c r="AOU37" s="68">
        <f t="shared" si="2164"/>
        <v>33.333333333333336</v>
      </c>
      <c r="AOV37" s="48"/>
      <c r="AOW37" s="49"/>
      <c r="AOX37" s="49"/>
      <c r="AOY37" s="49"/>
      <c r="AOZ37" s="49"/>
      <c r="APA37" s="49"/>
      <c r="APB37" s="67">
        <f t="shared" si="2165"/>
        <v>0</v>
      </c>
      <c r="APC37" s="68">
        <f t="shared" si="2166"/>
        <v>0</v>
      </c>
      <c r="APD37" s="48"/>
      <c r="APE37" s="49"/>
      <c r="APF37" s="49"/>
      <c r="APG37" s="49"/>
      <c r="APH37" s="49"/>
      <c r="API37" s="49"/>
      <c r="APJ37" s="67">
        <f t="shared" si="2167"/>
        <v>0</v>
      </c>
      <c r="APK37" s="68">
        <f t="shared" si="2168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69"/>
        <v>500</v>
      </c>
      <c r="APS37" s="68">
        <f t="shared" si="2170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71"/>
        <v>99</v>
      </c>
      <c r="AQA37" s="68">
        <f t="shared" si="2172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73"/>
        <v>100</v>
      </c>
      <c r="AQI37" s="68">
        <f t="shared" si="2174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75"/>
        <v>686</v>
      </c>
      <c r="AQQ37" s="68">
        <f t="shared" si="2176"/>
        <v>114.33333333333333</v>
      </c>
      <c r="AQR37" s="48"/>
      <c r="AQS37" s="49"/>
      <c r="AQT37" s="49"/>
      <c r="AQU37" s="49"/>
      <c r="AQV37" s="49"/>
      <c r="AQW37" s="49"/>
      <c r="AQX37" s="67">
        <f t="shared" si="2177"/>
        <v>0</v>
      </c>
      <c r="AQY37" s="68">
        <f t="shared" si="2178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79"/>
        <v>396</v>
      </c>
      <c r="ARG37" s="68">
        <f t="shared" si="2180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81"/>
        <v>200</v>
      </c>
      <c r="ARO37" s="68">
        <f t="shared" si="2182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83"/>
        <v>200</v>
      </c>
      <c r="ARW37" s="68">
        <f t="shared" si="2184"/>
        <v>33.333333333333336</v>
      </c>
      <c r="ARX37" s="48"/>
      <c r="ARY37" s="49"/>
      <c r="ARZ37" s="49"/>
      <c r="ASA37" s="49"/>
      <c r="ASB37" s="49"/>
      <c r="ASC37" s="49"/>
      <c r="ASD37" s="67">
        <f t="shared" si="2185"/>
        <v>0</v>
      </c>
      <c r="ASE37" s="68">
        <f t="shared" si="2186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87"/>
        <v>830</v>
      </c>
      <c r="ASM37" s="68">
        <f t="shared" si="2188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89"/>
        <v>400</v>
      </c>
      <c r="ASU37" s="68">
        <f t="shared" si="2190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91"/>
        <v>615</v>
      </c>
      <c r="ATC37" s="68">
        <f t="shared" si="2192"/>
        <v>102.5</v>
      </c>
      <c r="ATD37" s="48"/>
      <c r="ATE37" s="49"/>
      <c r="ATF37" s="49"/>
      <c r="ATG37" s="49"/>
      <c r="ATH37" s="49"/>
      <c r="ATI37" s="49"/>
      <c r="ATJ37" s="67">
        <f t="shared" si="2193"/>
        <v>0</v>
      </c>
      <c r="ATK37" s="68">
        <f t="shared" si="2194"/>
        <v>0</v>
      </c>
      <c r="ATL37" s="48"/>
      <c r="ATM37" s="49"/>
      <c r="ATN37" s="49"/>
      <c r="ATO37" s="49"/>
      <c r="ATP37" s="49"/>
      <c r="ATQ37" s="49"/>
      <c r="ATR37" s="67">
        <f t="shared" si="2195"/>
        <v>0</v>
      </c>
      <c r="ATS37" s="68">
        <f t="shared" si="2196"/>
        <v>0</v>
      </c>
      <c r="ATT37" s="48"/>
      <c r="ATU37" s="49"/>
      <c r="ATV37" s="49"/>
      <c r="ATW37" s="49"/>
      <c r="ATX37" s="49"/>
      <c r="ATY37" s="49"/>
      <c r="ATZ37" s="67">
        <f t="shared" si="2197"/>
        <v>0</v>
      </c>
      <c r="AUA37" s="68">
        <f t="shared" si="2198"/>
        <v>0</v>
      </c>
      <c r="AUB37" s="48"/>
      <c r="AUC37" s="49"/>
      <c r="AUD37" s="49"/>
      <c r="AUE37" s="49"/>
      <c r="AUF37" s="49"/>
      <c r="AUG37" s="49"/>
      <c r="AUH37" s="67">
        <f t="shared" si="2199"/>
        <v>0</v>
      </c>
      <c r="AUI37" s="68">
        <f t="shared" si="2200"/>
        <v>0</v>
      </c>
      <c r="AUJ37" s="48"/>
      <c r="AUK37" s="49"/>
      <c r="AUL37" s="49"/>
      <c r="AUM37" s="49"/>
      <c r="AUN37" s="49"/>
      <c r="AUO37" s="49"/>
      <c r="AUP37" s="67">
        <f t="shared" si="2201"/>
        <v>0</v>
      </c>
      <c r="AUQ37" s="68">
        <f t="shared" si="2202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203"/>
        <v>205</v>
      </c>
      <c r="AUY37" s="68">
        <f t="shared" si="2204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205"/>
        <v>100</v>
      </c>
      <c r="AVG37" s="68">
        <f t="shared" si="2206"/>
        <v>16.666666666666668</v>
      </c>
      <c r="AVH37" s="48"/>
      <c r="AVI37" s="49"/>
      <c r="AVJ37" s="49"/>
      <c r="AVK37" s="49"/>
      <c r="AVL37" s="49"/>
      <c r="AVM37" s="49"/>
      <c r="AVN37" s="67">
        <f t="shared" si="2207"/>
        <v>0</v>
      </c>
      <c r="AVO37" s="68">
        <f t="shared" si="2208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209"/>
        <v>208</v>
      </c>
      <c r="AVW37" s="68">
        <f t="shared" si="2210"/>
        <v>34.666666666666664</v>
      </c>
      <c r="AVX37" s="48"/>
      <c r="AVY37" s="49"/>
      <c r="AVZ37" s="49"/>
      <c r="AWA37" s="49"/>
      <c r="AWB37" s="49"/>
      <c r="AWC37" s="49"/>
      <c r="AWD37" s="67">
        <f t="shared" si="2211"/>
        <v>0</v>
      </c>
      <c r="AWE37" s="68">
        <f t="shared" si="2212"/>
        <v>0</v>
      </c>
      <c r="AWF37" s="48"/>
      <c r="AWG37" s="49"/>
      <c r="AWH37" s="49"/>
      <c r="AWI37" s="49"/>
      <c r="AWJ37" s="49"/>
      <c r="AWK37" s="49"/>
      <c r="AWL37" s="67">
        <f t="shared" si="2213"/>
        <v>0</v>
      </c>
      <c r="AWM37" s="184">
        <f t="shared" si="2214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15"/>
        <v>300</v>
      </c>
      <c r="AWU37" s="43">
        <f t="shared" si="2216"/>
        <v>50</v>
      </c>
      <c r="AWV37" s="48"/>
      <c r="AWW37" s="49"/>
      <c r="AWX37" s="49"/>
      <c r="AWY37" s="49"/>
      <c r="AWZ37" s="49"/>
      <c r="AXA37" s="49"/>
      <c r="AXB37" s="42">
        <f t="shared" si="2217"/>
        <v>0</v>
      </c>
      <c r="AXC37" s="43">
        <f t="shared" si="2218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19"/>
        <v>201</v>
      </c>
      <c r="AXK37" s="43">
        <f t="shared" si="2220"/>
        <v>33.5</v>
      </c>
      <c r="AXL37" s="48"/>
      <c r="AXM37" s="49"/>
      <c r="AXN37" s="49"/>
      <c r="AXO37" s="49"/>
      <c r="AXP37" s="49"/>
      <c r="AXQ37" s="49"/>
      <c r="AXR37" s="42">
        <f t="shared" si="2221"/>
        <v>0</v>
      </c>
      <c r="AXS37" s="43">
        <f t="shared" si="2222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23"/>
        <v>199</v>
      </c>
      <c r="AYA37" s="43">
        <f t="shared" si="2224"/>
        <v>33.166666666666664</v>
      </c>
      <c r="AYB37" s="48"/>
      <c r="AYC37" s="49"/>
      <c r="AYD37" s="49"/>
      <c r="AYE37" s="49"/>
      <c r="AYF37" s="49"/>
      <c r="AYG37" s="49"/>
      <c r="AYH37" s="42">
        <f t="shared" si="2225"/>
        <v>0</v>
      </c>
      <c r="AYI37" s="43">
        <f t="shared" si="2226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27"/>
        <v>100</v>
      </c>
      <c r="AYQ37" s="43">
        <f t="shared" si="2228"/>
        <v>16.666666666666668</v>
      </c>
      <c r="AYR37" s="48"/>
      <c r="AYS37" s="49"/>
      <c r="AYT37" s="49"/>
      <c r="AYU37" s="49"/>
      <c r="AYV37" s="49"/>
      <c r="AYW37" s="49"/>
      <c r="AYX37" s="42">
        <f t="shared" si="2229"/>
        <v>0</v>
      </c>
      <c r="AYY37" s="43">
        <f t="shared" si="2230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31"/>
        <v>200</v>
      </c>
      <c r="AZG37" s="43">
        <f t="shared" si="2232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33"/>
        <v>106</v>
      </c>
      <c r="AZO37" s="43">
        <f t="shared" si="2234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35"/>
        <v>196</v>
      </c>
      <c r="AZW37" s="43">
        <f t="shared" si="2236"/>
        <v>32.666666666666664</v>
      </c>
      <c r="AZX37" s="82"/>
      <c r="AZY37" s="83"/>
      <c r="AZZ37" s="83"/>
      <c r="BAA37" s="83"/>
      <c r="BAB37" s="83"/>
      <c r="BAC37" s="83"/>
      <c r="BAD37" s="42">
        <f t="shared" si="2237"/>
        <v>0</v>
      </c>
      <c r="BAE37" s="43">
        <f t="shared" si="2238"/>
        <v>0</v>
      </c>
      <c r="BAF37" s="48"/>
      <c r="BAG37" s="49"/>
      <c r="BAH37" s="49"/>
      <c r="BAI37" s="49"/>
      <c r="BAJ37" s="49"/>
      <c r="BAK37" s="49"/>
      <c r="BAL37" s="42">
        <f t="shared" si="2239"/>
        <v>0</v>
      </c>
      <c r="BAM37" s="43">
        <f t="shared" si="2240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41"/>
        <v>200</v>
      </c>
      <c r="BAU37" s="43">
        <f t="shared" si="2242"/>
        <v>33.333333333333336</v>
      </c>
      <c r="BAV37" s="48"/>
      <c r="BAW37" s="49"/>
      <c r="BAX37" s="49"/>
      <c r="BAY37" s="49"/>
      <c r="BAZ37" s="49"/>
      <c r="BBA37" s="49"/>
      <c r="BBB37" s="42">
        <f t="shared" si="2243"/>
        <v>0</v>
      </c>
      <c r="BBC37" s="43">
        <f t="shared" si="2244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45"/>
        <v>283</v>
      </c>
      <c r="BBK37" s="43">
        <f t="shared" si="2246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47"/>
        <v>101</v>
      </c>
      <c r="BBS37" s="43">
        <f t="shared" si="2248"/>
        <v>16.833333333333332</v>
      </c>
      <c r="BBT37" s="48"/>
      <c r="BBU37" s="49"/>
      <c r="BBV37" s="49"/>
      <c r="BBW37" s="49"/>
      <c r="BBX37" s="49"/>
      <c r="BBY37" s="49"/>
      <c r="BBZ37" s="42">
        <f t="shared" si="2249"/>
        <v>0</v>
      </c>
      <c r="BCA37" s="43">
        <f t="shared" si="2250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51"/>
        <v>200</v>
      </c>
      <c r="BCI37" s="43">
        <f t="shared" si="2252"/>
        <v>33.333333333333336</v>
      </c>
      <c r="BCJ37" s="48"/>
      <c r="BCK37" s="49"/>
      <c r="BCL37" s="49"/>
      <c r="BCM37" s="49"/>
      <c r="BCN37" s="49"/>
      <c r="BCO37" s="49"/>
      <c r="BCP37" s="42">
        <f t="shared" si="2253"/>
        <v>0</v>
      </c>
      <c r="BCQ37" s="43">
        <f t="shared" si="2254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55"/>
        <v>501</v>
      </c>
      <c r="BCY37" s="43">
        <f t="shared" si="2256"/>
        <v>83.5</v>
      </c>
      <c r="BCZ37" s="48"/>
      <c r="BDA37" s="49"/>
      <c r="BDB37" s="49"/>
      <c r="BDC37" s="49"/>
      <c r="BDD37" s="49"/>
      <c r="BDE37" s="49"/>
      <c r="BDF37" s="42">
        <f t="shared" si="2257"/>
        <v>0</v>
      </c>
      <c r="BDG37" s="43">
        <f t="shared" si="2258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59"/>
        <v>100</v>
      </c>
      <c r="BDO37" s="43">
        <f t="shared" si="2260"/>
        <v>16.666666666666668</v>
      </c>
      <c r="BDP37" s="48"/>
      <c r="BDQ37" s="49"/>
      <c r="BDR37" s="49"/>
      <c r="BDS37" s="49"/>
      <c r="BDT37" s="49"/>
      <c r="BDU37" s="49"/>
      <c r="BDV37" s="42">
        <f t="shared" si="2261"/>
        <v>0</v>
      </c>
      <c r="BDW37" s="43">
        <f t="shared" si="2262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63"/>
        <v>200</v>
      </c>
      <c r="BEE37" s="43">
        <f t="shared" si="2264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65"/>
        <v>100</v>
      </c>
      <c r="BEM37" s="43">
        <f t="shared" si="2266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67"/>
        <v>100</v>
      </c>
      <c r="BEU37" s="43">
        <f t="shared" si="2268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69"/>
        <v>301</v>
      </c>
      <c r="BFC37" s="43">
        <f t="shared" si="2270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71"/>
        <v>200</v>
      </c>
      <c r="BFK37" s="43">
        <f t="shared" si="2272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73"/>
        <v>110</v>
      </c>
      <c r="BFS37" s="43">
        <f t="shared" si="2274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75"/>
        <v>160</v>
      </c>
      <c r="BGA37" s="43">
        <f t="shared" si="2276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77"/>
        <v>205</v>
      </c>
      <c r="BGI37" s="43">
        <f t="shared" si="2278"/>
        <v>34.166666666666664</v>
      </c>
      <c r="BGJ37" s="48"/>
      <c r="BGK37" s="49"/>
      <c r="BGL37" s="49"/>
      <c r="BGM37" s="49"/>
      <c r="BGN37" s="49"/>
      <c r="BGO37" s="49"/>
      <c r="BGP37" s="42">
        <f t="shared" si="2279"/>
        <v>0</v>
      </c>
      <c r="BGQ37" s="43">
        <f t="shared" si="2280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81"/>
        <v>200</v>
      </c>
      <c r="BGY37" s="43">
        <f t="shared" si="2282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83"/>
        <v>200</v>
      </c>
      <c r="BHG37" s="43">
        <f t="shared" si="2284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85"/>
        <v>200</v>
      </c>
      <c r="BHO37" s="43">
        <f t="shared" si="2286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87"/>
        <v>200</v>
      </c>
      <c r="BHW37" s="43">
        <f t="shared" si="2288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89"/>
        <v>400</v>
      </c>
      <c r="BIE37" s="43">
        <f t="shared" si="2290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91"/>
        <v>200</v>
      </c>
      <c r="BIM37" s="43">
        <f t="shared" si="2292"/>
        <v>33.333333333333336</v>
      </c>
      <c r="BIN37" s="48"/>
      <c r="BIO37" s="49"/>
      <c r="BIP37" s="49"/>
      <c r="BIQ37" s="49"/>
      <c r="BIR37" s="49"/>
      <c r="BIS37" s="49"/>
      <c r="BIT37" s="42">
        <f t="shared" si="2293"/>
        <v>0</v>
      </c>
      <c r="BIU37" s="101">
        <f t="shared" si="2294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95"/>
        <v>300</v>
      </c>
      <c r="BJC37" s="101">
        <f t="shared" si="2296"/>
        <v>50</v>
      </c>
      <c r="BJD37" s="48"/>
      <c r="BJE37" s="49"/>
      <c r="BJF37" s="49"/>
      <c r="BJG37" s="49"/>
      <c r="BJH37" s="49"/>
      <c r="BJI37" s="49"/>
      <c r="BJJ37" s="42">
        <f t="shared" si="2297"/>
        <v>0</v>
      </c>
      <c r="BJK37" s="43">
        <f t="shared" si="2298"/>
        <v>0</v>
      </c>
      <c r="BJL37" s="48"/>
      <c r="BJM37" s="49"/>
      <c r="BJN37" s="49"/>
      <c r="BJO37" s="49"/>
      <c r="BJP37" s="49"/>
      <c r="BJQ37" s="49"/>
      <c r="BJR37" s="42">
        <f t="shared" si="2299"/>
        <v>0</v>
      </c>
      <c r="BJS37" s="43">
        <f t="shared" si="2300"/>
        <v>0</v>
      </c>
      <c r="BJT37" s="48"/>
      <c r="BJU37" s="49"/>
      <c r="BJV37" s="49"/>
      <c r="BJW37" s="49"/>
      <c r="BJX37" s="49"/>
      <c r="BJY37" s="49"/>
      <c r="BJZ37" s="42">
        <f t="shared" si="2301"/>
        <v>0</v>
      </c>
      <c r="BKA37" s="43">
        <f t="shared" si="2302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303"/>
        <v>200</v>
      </c>
      <c r="BKI37" s="68">
        <f t="shared" si="2304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305"/>
        <v>89</v>
      </c>
      <c r="BKQ37" s="43">
        <f t="shared" si="2306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307"/>
        <v>110</v>
      </c>
      <c r="BKY37" s="43">
        <f t="shared" si="2308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309"/>
        <v>198</v>
      </c>
      <c r="BLG37" s="43">
        <f t="shared" si="2310"/>
        <v>33</v>
      </c>
      <c r="BLH37" s="48"/>
      <c r="BLI37" s="49"/>
      <c r="BLJ37" s="49"/>
      <c r="BLK37" s="49"/>
      <c r="BLL37" s="49"/>
      <c r="BLM37" s="49"/>
      <c r="BLN37" s="42">
        <f t="shared" si="2311"/>
        <v>0</v>
      </c>
      <c r="BLO37" s="43">
        <f t="shared" si="2312"/>
        <v>0</v>
      </c>
      <c r="BLP37" s="48"/>
      <c r="BLQ37" s="49"/>
      <c r="BLR37" s="49"/>
      <c r="BLS37" s="49"/>
      <c r="BLT37" s="49"/>
      <c r="BLU37" s="49"/>
      <c r="BLV37" s="42">
        <f t="shared" si="2313"/>
        <v>0</v>
      </c>
      <c r="BLW37" s="43">
        <f t="shared" si="2314"/>
        <v>0</v>
      </c>
      <c r="BLX37" s="48"/>
      <c r="BLY37" s="49"/>
      <c r="BLZ37" s="49"/>
      <c r="BMA37" s="49"/>
      <c r="BMB37" s="49"/>
      <c r="BMC37" s="49"/>
      <c r="BMD37" s="42">
        <f t="shared" si="2315"/>
        <v>0</v>
      </c>
      <c r="BME37" s="43">
        <f t="shared" si="2316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17"/>
        <v>120</v>
      </c>
      <c r="BMM37" s="43">
        <f t="shared" si="2318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19"/>
        <v>200</v>
      </c>
      <c r="BMU37" s="43">
        <f t="shared" si="2320"/>
        <v>33.333333333333336</v>
      </c>
      <c r="BMV37" s="48"/>
      <c r="BMW37" s="49"/>
      <c r="BMX37" s="49"/>
      <c r="BMY37" s="49"/>
      <c r="BMZ37" s="49"/>
      <c r="BNA37" s="49"/>
      <c r="BNB37" s="42">
        <f t="shared" si="2321"/>
        <v>0</v>
      </c>
      <c r="BNC37" s="43">
        <f t="shared" si="2322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23"/>
        <v>100</v>
      </c>
      <c r="BNK37" s="43">
        <f t="shared" si="2324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25"/>
        <v>300</v>
      </c>
      <c r="BNS37" s="43">
        <f t="shared" si="2326"/>
        <v>50</v>
      </c>
      <c r="BNT37" s="48"/>
      <c r="BNU37" s="49"/>
      <c r="BNV37" s="49"/>
      <c r="BNW37" s="49"/>
      <c r="BNX37" s="49"/>
      <c r="BNY37" s="49"/>
      <c r="BNZ37" s="42">
        <f t="shared" si="2327"/>
        <v>0</v>
      </c>
      <c r="BOA37" s="43">
        <f t="shared" si="2328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29"/>
        <v>100</v>
      </c>
      <c r="BOI37" s="43">
        <f t="shared" si="2330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31"/>
        <v>200</v>
      </c>
      <c r="BOQ37" s="43">
        <f t="shared" si="2332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33"/>
        <v>60</v>
      </c>
      <c r="BOY37" s="43">
        <f t="shared" si="2334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35"/>
        <v>100</v>
      </c>
      <c r="BPG37" s="43">
        <f t="shared" si="2336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37"/>
        <v>300</v>
      </c>
      <c r="BPO37" s="43">
        <f t="shared" si="2338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39"/>
        <v>100</v>
      </c>
      <c r="BPW37" s="43">
        <f t="shared" si="2340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41"/>
        <v>298</v>
      </c>
      <c r="BQE37" s="43">
        <f t="shared" si="2342"/>
        <v>49.666666666666664</v>
      </c>
      <c r="BQF37" s="48"/>
      <c r="BQG37" s="49"/>
      <c r="BQH37" s="49"/>
      <c r="BQI37" s="49"/>
      <c r="BQJ37" s="49"/>
      <c r="BQK37" s="49"/>
      <c r="BQL37" s="67">
        <f t="shared" si="2343"/>
        <v>0</v>
      </c>
      <c r="BQM37" s="43">
        <f t="shared" si="2344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45"/>
        <v>98</v>
      </c>
      <c r="BQU37" s="43">
        <f t="shared" si="2346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47"/>
        <v>298</v>
      </c>
      <c r="BRC37" s="43">
        <f t="shared" si="2348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49"/>
        <v>241</v>
      </c>
      <c r="BRK37" s="43">
        <f t="shared" si="2350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51"/>
        <v>400</v>
      </c>
      <c r="BRS37" s="68">
        <f t="shared" si="2352"/>
        <v>66.666666666666671</v>
      </c>
      <c r="BRT37" s="63"/>
      <c r="BRU37" s="64"/>
      <c r="BRV37" s="64"/>
      <c r="BRW37" s="64"/>
      <c r="BRX37" s="64"/>
      <c r="BRY37" s="64"/>
      <c r="BRZ37" s="67">
        <f t="shared" si="2353"/>
        <v>0</v>
      </c>
      <c r="BSA37" s="43">
        <f t="shared" si="2354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55"/>
        <v>600</v>
      </c>
      <c r="BSI37" s="43">
        <f t="shared" si="2356"/>
        <v>100</v>
      </c>
      <c r="BSJ37" s="48"/>
      <c r="BSK37" s="49"/>
      <c r="BSL37" s="49"/>
      <c r="BSM37" s="49"/>
      <c r="BSN37" s="49"/>
      <c r="BSO37" s="49"/>
      <c r="BSP37" s="67">
        <f t="shared" si="2357"/>
        <v>0</v>
      </c>
      <c r="BSQ37" s="43">
        <f t="shared" si="2358"/>
        <v>0</v>
      </c>
      <c r="BSR37" s="48"/>
      <c r="BSS37" s="49"/>
      <c r="BST37" s="49"/>
      <c r="BSU37" s="49"/>
      <c r="BSV37" s="49"/>
      <c r="BSW37" s="49"/>
      <c r="BSX37" s="67">
        <f t="shared" si="2359"/>
        <v>0</v>
      </c>
      <c r="BSY37" s="43">
        <f t="shared" si="2360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61"/>
        <v>239</v>
      </c>
      <c r="BTG37" s="43">
        <f t="shared" si="2362"/>
        <v>39.833333333333336</v>
      </c>
      <c r="BTH37" s="48"/>
      <c r="BTI37" s="49"/>
      <c r="BTJ37" s="49"/>
      <c r="BTK37" s="49"/>
      <c r="BTL37" s="49"/>
      <c r="BTM37" s="49"/>
      <c r="BTN37" s="67">
        <f t="shared" si="2363"/>
        <v>0</v>
      </c>
      <c r="BTO37" s="68">
        <f t="shared" si="2364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65"/>
        <v>159</v>
      </c>
      <c r="BTW37" s="43">
        <f t="shared" si="2366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67"/>
        <v>300</v>
      </c>
      <c r="BUE37" s="68">
        <f t="shared" si="2368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69"/>
        <v>200</v>
      </c>
      <c r="BUM37" s="68">
        <f t="shared" si="2370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71"/>
        <v>199</v>
      </c>
      <c r="BUU37" s="68">
        <f t="shared" si="2372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73"/>
        <v>100</v>
      </c>
      <c r="BVC37" s="68">
        <f t="shared" si="2374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75"/>
        <v>198</v>
      </c>
      <c r="BVK37" s="68">
        <f t="shared" si="2376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77"/>
        <v>200</v>
      </c>
      <c r="BVS37" s="68">
        <f t="shared" si="2378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79"/>
        <v>400</v>
      </c>
      <c r="BWA37" s="68">
        <f t="shared" si="2380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81"/>
        <v>160</v>
      </c>
      <c r="BWI37" s="68">
        <f t="shared" si="2382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83"/>
        <v>208</v>
      </c>
      <c r="BWQ37" s="68">
        <f t="shared" si="2384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85"/>
        <v>100</v>
      </c>
      <c r="BWY37" s="68">
        <f t="shared" si="2386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87"/>
        <v>399</v>
      </c>
      <c r="BXG37" s="68">
        <f t="shared" si="2388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89"/>
        <v>200</v>
      </c>
      <c r="BXO37" s="68">
        <f t="shared" si="2390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91"/>
        <v>360</v>
      </c>
      <c r="BXW37" s="68">
        <f t="shared" si="1596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92"/>
        <v>200</v>
      </c>
      <c r="BYE37" s="68">
        <f t="shared" si="2393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94"/>
        <v>299</v>
      </c>
      <c r="BYM37" s="68">
        <f t="shared" si="2395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96"/>
        <v>606</v>
      </c>
      <c r="BYU37" s="68">
        <f t="shared" si="2397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98"/>
        <v>305</v>
      </c>
      <c r="BZC37" s="68">
        <f t="shared" si="2399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400"/>
        <v>200</v>
      </c>
      <c r="BZK37" s="68">
        <f t="shared" si="2401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402"/>
        <v>402</v>
      </c>
      <c r="BZS37" s="68">
        <f t="shared" si="2403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404"/>
        <v>403</v>
      </c>
      <c r="CAA37" s="68">
        <f t="shared" si="2405"/>
        <v>67.166666666666671</v>
      </c>
      <c r="CAB37" s="48"/>
      <c r="CAC37" s="49"/>
      <c r="CAD37" s="49"/>
      <c r="CAE37" s="49"/>
      <c r="CAF37" s="49"/>
      <c r="CAG37" s="49"/>
      <c r="CAH37" s="67">
        <f t="shared" si="2406"/>
        <v>0</v>
      </c>
      <c r="CAI37" s="68">
        <f t="shared" si="2407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408"/>
        <v>400</v>
      </c>
      <c r="CAQ37" s="68">
        <f t="shared" si="2409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410"/>
        <v>300</v>
      </c>
      <c r="CAY37" s="68">
        <f t="shared" si="2411"/>
        <v>50</v>
      </c>
      <c r="CAZ37" s="48"/>
      <c r="CBA37" s="49"/>
      <c r="CBB37" s="49"/>
      <c r="CBC37" s="49"/>
      <c r="CBD37" s="49"/>
      <c r="CBE37" s="49"/>
      <c r="CBF37" s="67">
        <f t="shared" si="2412"/>
        <v>0</v>
      </c>
      <c r="CBG37" s="68">
        <f t="shared" si="2413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14"/>
        <v>200</v>
      </c>
      <c r="CBO37" s="68">
        <f t="shared" si="2415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16"/>
        <v>201</v>
      </c>
      <c r="CBW37" s="68">
        <f t="shared" si="2417"/>
        <v>33.5</v>
      </c>
      <c r="CBX37" s="48"/>
      <c r="CBY37" s="49"/>
      <c r="CBZ37" s="49"/>
      <c r="CCA37" s="49"/>
      <c r="CCB37" s="49"/>
      <c r="CCC37" s="49"/>
      <c r="CCD37" s="67">
        <f t="shared" si="2418"/>
        <v>0</v>
      </c>
      <c r="CCE37" s="68">
        <f t="shared" si="2419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20"/>
        <v>219</v>
      </c>
      <c r="CCM37" s="68">
        <f t="shared" si="2421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22"/>
        <v>200</v>
      </c>
      <c r="CCU37" s="68">
        <f t="shared" si="2423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41"/>
        <v>799</v>
      </c>
      <c r="CDC37" s="68">
        <f t="shared" si="1642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43"/>
        <v>808</v>
      </c>
      <c r="CDK37" s="68">
        <f t="shared" si="1644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45"/>
        <v>201</v>
      </c>
      <c r="CDS37" s="68">
        <f t="shared" si="1646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47"/>
        <v>441</v>
      </c>
      <c r="CEA37" s="68">
        <f t="shared" si="1648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49"/>
        <v>381</v>
      </c>
      <c r="CEI37" s="68">
        <f t="shared" si="1650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51"/>
        <v>603</v>
      </c>
      <c r="CEQ37" s="68">
        <f t="shared" si="1652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54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55"/>
        <v>1029</v>
      </c>
      <c r="CFG37" s="68">
        <f t="shared" si="1656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57"/>
        <v>1478</v>
      </c>
      <c r="CFO37" s="68">
        <f t="shared" si="1658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59"/>
        <v>603</v>
      </c>
      <c r="CFW37" s="68">
        <f t="shared" si="1660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61"/>
        <v>1345</v>
      </c>
      <c r="CGE37" s="68">
        <f t="shared" si="1662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63"/>
        <v>496</v>
      </c>
      <c r="CGM37" s="68">
        <f t="shared" si="1664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65"/>
        <v>1297</v>
      </c>
      <c r="CGU37" s="68">
        <f t="shared" si="1666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67"/>
        <v>1239</v>
      </c>
      <c r="CHC37" s="68">
        <f t="shared" si="1668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69"/>
        <v>1249</v>
      </c>
      <c r="CHK37" s="68">
        <f t="shared" si="1670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71"/>
        <v>798</v>
      </c>
      <c r="CHS37" s="68">
        <f t="shared" si="1672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73"/>
        <v>1301</v>
      </c>
      <c r="CIA37" s="68">
        <f t="shared" si="1674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75"/>
        <v>1002</v>
      </c>
      <c r="CII37" s="68">
        <f t="shared" si="1676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77"/>
        <v>315</v>
      </c>
      <c r="CIQ37" s="68">
        <f t="shared" si="1678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79"/>
        <v>345</v>
      </c>
      <c r="CIY37" s="68">
        <f t="shared" si="1680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81"/>
        <v>1547</v>
      </c>
      <c r="CJG37" s="68">
        <f t="shared" si="1682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83"/>
        <v>884</v>
      </c>
      <c r="CJO37" s="184">
        <f t="shared" si="1684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85"/>
        <v>79</v>
      </c>
      <c r="CJW37" s="68">
        <f t="shared" si="1686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24">SUM(CJX37:CKC37)</f>
        <v>2613</v>
      </c>
      <c r="CKE37" s="68">
        <f t="shared" si="1687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88"/>
        <v>998</v>
      </c>
      <c r="CKM37" s="68">
        <f t="shared" si="1689"/>
        <v>166.33333333333334</v>
      </c>
      <c r="CKN37" s="48"/>
      <c r="CKO37" s="49"/>
      <c r="CKP37" s="49"/>
      <c r="CKQ37" s="49"/>
      <c r="CKR37" s="49"/>
      <c r="CKS37" s="47"/>
      <c r="CKT37" s="67">
        <f t="shared" si="1690"/>
        <v>0</v>
      </c>
      <c r="CKU37" s="68">
        <f t="shared" si="1691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92"/>
        <v>660</v>
      </c>
      <c r="CLC37" s="68">
        <f t="shared" si="1693"/>
        <v>110</v>
      </c>
      <c r="CLD37" s="48"/>
      <c r="CLE37" s="49"/>
      <c r="CLF37" s="49"/>
      <c r="CLG37" s="49"/>
      <c r="CLH37" s="49"/>
      <c r="CLI37" s="49"/>
      <c r="CLJ37" s="67">
        <f t="shared" si="1694"/>
        <v>0</v>
      </c>
      <c r="CLK37" s="68">
        <f t="shared" si="1695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96"/>
        <v>110</v>
      </c>
      <c r="CLS37" s="68">
        <f t="shared" si="1697"/>
        <v>18.333333333333332</v>
      </c>
      <c r="CLT37" s="48"/>
      <c r="CLU37" s="49"/>
      <c r="CLV37" s="49"/>
      <c r="CLW37" s="49"/>
      <c r="CLX37" s="49"/>
      <c r="CLY37" s="49"/>
      <c r="CLZ37" s="67">
        <f t="shared" si="1698"/>
        <v>0</v>
      </c>
      <c r="CMA37" s="68">
        <f t="shared" si="1699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700"/>
        <v>331</v>
      </c>
      <c r="CMI37" s="68">
        <f t="shared" si="1701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702"/>
        <v>110</v>
      </c>
      <c r="CMQ37" s="68">
        <f t="shared" si="1703"/>
        <v>18.333333333333332</v>
      </c>
      <c r="CMR37" s="48"/>
      <c r="CMS37" s="49"/>
      <c r="CMT37" s="49"/>
      <c r="CMU37" s="49"/>
      <c r="CMV37" s="49"/>
      <c r="CMW37" s="49"/>
      <c r="CMX37" s="67">
        <f t="shared" si="1704"/>
        <v>0</v>
      </c>
      <c r="CMY37" s="68">
        <f t="shared" si="1705"/>
        <v>0</v>
      </c>
      <c r="CMZ37" s="48"/>
      <c r="CNA37" s="49"/>
      <c r="CNB37" s="49"/>
      <c r="CNC37" s="49"/>
      <c r="CND37" s="49"/>
      <c r="CNE37" s="49"/>
      <c r="CNF37" s="67">
        <f t="shared" si="1706"/>
        <v>0</v>
      </c>
      <c r="CNG37" s="68">
        <f t="shared" si="1707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708"/>
        <v>110</v>
      </c>
      <c r="CNO37" s="68">
        <f t="shared" si="1709"/>
        <v>18.333333333333332</v>
      </c>
      <c r="CNP37" s="48"/>
      <c r="CNQ37" s="49"/>
      <c r="CNR37" s="49"/>
      <c r="CNS37" s="49"/>
      <c r="CNT37" s="49"/>
      <c r="CNU37" s="49"/>
      <c r="CNV37" s="67">
        <f t="shared" si="1710"/>
        <v>0</v>
      </c>
      <c r="CNW37" s="68">
        <f t="shared" si="1711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12"/>
        <v>110</v>
      </c>
      <c r="COE37" s="68">
        <f t="shared" si="1713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14"/>
        <v>110</v>
      </c>
      <c r="COM37" s="68">
        <f t="shared" si="1715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16"/>
        <v>110</v>
      </c>
      <c r="COU37" s="68">
        <f t="shared" si="1717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18"/>
        <v>0</v>
      </c>
      <c r="CPC37" s="68">
        <f t="shared" si="1719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20"/>
        <v>0</v>
      </c>
      <c r="CPK37" s="68">
        <f t="shared" si="1721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22"/>
        <v>0</v>
      </c>
      <c r="CPS37" s="68">
        <f t="shared" si="1723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24"/>
        <v>8</v>
      </c>
      <c r="CQA37" s="68">
        <f t="shared" si="1725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26"/>
        <v>316</v>
      </c>
      <c r="CQI37" s="68">
        <f t="shared" si="1727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28"/>
        <v>24</v>
      </c>
      <c r="CQQ37" s="68">
        <f t="shared" si="1729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30"/>
        <v>442</v>
      </c>
      <c r="CQY37" s="68">
        <f t="shared" si="1731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32"/>
        <v>440</v>
      </c>
      <c r="CRG37" s="68">
        <f t="shared" si="1733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34"/>
        <v>202</v>
      </c>
      <c r="CRO37" s="68">
        <f t="shared" si="1735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36"/>
        <v>0</v>
      </c>
      <c r="CRW37" s="68">
        <f t="shared" si="1737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38"/>
        <v>220</v>
      </c>
      <c r="CSE37" s="68">
        <f t="shared" si="1739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252</v>
      </c>
      <c r="CSL37" s="64">
        <f t="shared" si="1740"/>
        <v>373</v>
      </c>
      <c r="CSM37" s="68">
        <f t="shared" si="1741"/>
        <v>62.166666666666664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42"/>
        <v>100</v>
      </c>
      <c r="CSU37" s="68">
        <f t="shared" si="1743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44"/>
        <v>0</v>
      </c>
      <c r="CTC37" s="68">
        <f t="shared" si="1745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6"/>
        <v>109</v>
      </c>
      <c r="CTK37" s="68">
        <f t="shared" si="1747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48"/>
        <v>108</v>
      </c>
      <c r="CTS37" s="68">
        <f t="shared" si="1749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50"/>
        <v>440</v>
      </c>
      <c r="CUA37" s="68">
        <f t="shared" si="1751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52"/>
        <v>0</v>
      </c>
      <c r="CUI37" s="68">
        <f t="shared" si="1753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54"/>
        <v>0</v>
      </c>
      <c r="CUQ37" s="68">
        <f t="shared" si="1755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56"/>
        <v>441</v>
      </c>
      <c r="CUY37" s="68">
        <f t="shared" si="1757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58"/>
        <v>209</v>
      </c>
      <c r="CVG37" s="68">
        <f t="shared" si="1759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60"/>
        <v>220</v>
      </c>
      <c r="CVO37" s="68">
        <f t="shared" si="1761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62"/>
        <v>0</v>
      </c>
      <c r="CVW37" s="68">
        <f t="shared" si="1763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64"/>
        <v>201</v>
      </c>
      <c r="CWE37" s="68">
        <f t="shared" si="1765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66"/>
        <v>109</v>
      </c>
      <c r="CWM37" s="68">
        <f t="shared" si="1767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68"/>
        <v>786</v>
      </c>
      <c r="CWU37" s="68">
        <f t="shared" si="1769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70"/>
        <v>345</v>
      </c>
      <c r="CXC37" s="43">
        <f t="shared" si="1771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72"/>
        <v>0</v>
      </c>
      <c r="CXK37" s="43">
        <f t="shared" si="1773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74"/>
        <v>344</v>
      </c>
      <c r="CXS37" s="43">
        <f t="shared" si="1775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76"/>
        <v>451</v>
      </c>
      <c r="CYA37" s="43">
        <f t="shared" si="1777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78"/>
        <v>677</v>
      </c>
      <c r="CYI37" s="43">
        <f t="shared" si="1779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80"/>
        <v>111</v>
      </c>
      <c r="CYQ37" s="43">
        <f t="shared" si="1781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82"/>
        <v>220</v>
      </c>
      <c r="CYY37" s="43">
        <f t="shared" si="1783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84"/>
        <v>114</v>
      </c>
      <c r="CZG37" s="43">
        <f t="shared" si="1785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86"/>
        <v>110</v>
      </c>
      <c r="CZO37" s="43">
        <f t="shared" si="1787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88"/>
        <v>110</v>
      </c>
      <c r="CZW37" s="43">
        <f t="shared" si="1789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90"/>
        <v>220</v>
      </c>
      <c r="DAE37" s="68">
        <f t="shared" si="1791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92"/>
        <v>332</v>
      </c>
      <c r="DAM37" s="68">
        <f t="shared" si="1793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94"/>
        <v>324</v>
      </c>
      <c r="DAU37" s="68">
        <f t="shared" si="1795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96"/>
        <v>442</v>
      </c>
      <c r="DBC37" s="68">
        <f t="shared" si="1797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98"/>
        <v>404</v>
      </c>
      <c r="DBK37" s="68">
        <f t="shared" si="1799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800"/>
        <v>0</v>
      </c>
      <c r="DBS37" s="68">
        <f t="shared" si="1801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802"/>
        <v>0</v>
      </c>
      <c r="DCA37" s="68">
        <f t="shared" si="1803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804"/>
        <v>776</v>
      </c>
      <c r="DCI37" s="68">
        <f t="shared" si="1805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806"/>
        <v>220</v>
      </c>
      <c r="DCQ37" s="68">
        <f t="shared" si="1807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808"/>
        <v>548</v>
      </c>
      <c r="DCY37" s="68">
        <f t="shared" si="1809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810"/>
        <v>530</v>
      </c>
      <c r="DDG37" s="68">
        <f t="shared" si="1811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12"/>
        <v>0</v>
      </c>
      <c r="DDO37" s="43">
        <f t="shared" si="1813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14"/>
        <v>333</v>
      </c>
      <c r="DDW37" s="43">
        <f t="shared" si="1815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16"/>
        <v>110</v>
      </c>
      <c r="DEE37" s="43">
        <f t="shared" si="1817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252</v>
      </c>
      <c r="DEL37" s="127">
        <f t="shared" si="1818"/>
        <v>252</v>
      </c>
      <c r="DEM37" s="43">
        <f t="shared" si="1819"/>
        <v>42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20"/>
        <v>0</v>
      </c>
      <c r="DEU37" s="43">
        <f t="shared" si="1821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22"/>
        <v>3</v>
      </c>
      <c r="DFC37" s="43">
        <f t="shared" si="1823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24"/>
        <v>0</v>
      </c>
      <c r="DFK37" s="43">
        <f t="shared" si="1825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26"/>
        <v>189</v>
      </c>
      <c r="DFS37" s="68">
        <f t="shared" si="1827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28"/>
        <v>110</v>
      </c>
      <c r="DGA37" s="43">
        <f t="shared" si="1829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30"/>
        <v>110</v>
      </c>
      <c r="DGI37" s="43">
        <f t="shared" si="1831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32"/>
        <v>0</v>
      </c>
      <c r="DGQ37" s="68">
        <f t="shared" si="1833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34"/>
        <v>0</v>
      </c>
      <c r="DGY37" s="68">
        <f t="shared" si="1835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36"/>
        <v>190</v>
      </c>
      <c r="DHG37" s="68">
        <f t="shared" si="1837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38"/>
        <v>80</v>
      </c>
      <c r="DHO37" s="68">
        <f t="shared" si="1839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40"/>
        <v>0</v>
      </c>
      <c r="DHW37" s="68">
        <f t="shared" si="1841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42"/>
        <v>110</v>
      </c>
      <c r="DIE37" s="68">
        <f t="shared" si="1843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44"/>
        <v>0</v>
      </c>
      <c r="DIM37" s="68">
        <f t="shared" si="1845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6"/>
        <v>0</v>
      </c>
      <c r="DIU37" s="68">
        <f t="shared" si="1847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48"/>
        <v>0</v>
      </c>
      <c r="DJC37" s="68">
        <f t="shared" si="1849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50"/>
        <v>113</v>
      </c>
      <c r="DJK37" s="68">
        <f t="shared" si="1851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52"/>
        <v>0</v>
      </c>
      <c r="DJS37" s="68">
        <f t="shared" si="1853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54"/>
        <v>1478</v>
      </c>
      <c r="DKA37" s="68">
        <f t="shared" si="1855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56"/>
        <v>115</v>
      </c>
      <c r="DKI37" s="68">
        <f t="shared" si="1857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58"/>
        <v>110</v>
      </c>
      <c r="DKQ37" s="68">
        <f t="shared" si="1859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60"/>
        <v>0</v>
      </c>
      <c r="DKY37" s="68">
        <f t="shared" si="1861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62"/>
        <v>110</v>
      </c>
      <c r="DLG37" s="68">
        <f t="shared" si="1863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64"/>
        <v>1219</v>
      </c>
      <c r="DLO37" s="68">
        <f t="shared" si="1865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66"/>
        <v>505</v>
      </c>
      <c r="DLW37" s="68">
        <f t="shared" si="1867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68"/>
        <v>223</v>
      </c>
      <c r="DME37" s="68">
        <f t="shared" si="1869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70"/>
        <v>1369</v>
      </c>
      <c r="DMM37" s="68">
        <f t="shared" si="1871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72"/>
        <v>705</v>
      </c>
      <c r="DMU37" s="68">
        <f t="shared" si="1873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74"/>
        <v>510</v>
      </c>
      <c r="DNC37" s="68">
        <f t="shared" si="1875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76"/>
        <v>677</v>
      </c>
      <c r="DNK37" s="68">
        <f t="shared" si="1877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78"/>
        <v>680</v>
      </c>
      <c r="DNS37" s="68">
        <f t="shared" si="1879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80"/>
        <v>0</v>
      </c>
      <c r="DOA37" s="68">
        <f t="shared" si="1881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82"/>
        <v>221</v>
      </c>
      <c r="DOI37" s="68">
        <f t="shared" si="1883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84"/>
        <v>440</v>
      </c>
      <c r="DOQ37" s="68">
        <f t="shared" si="1885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86"/>
        <v>110</v>
      </c>
      <c r="DOY37" s="68">
        <f t="shared" si="1887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88"/>
        <v>330</v>
      </c>
      <c r="DPG37" s="68">
        <f t="shared" si="1889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90"/>
        <v>0</v>
      </c>
      <c r="DPO37" s="68">
        <f t="shared" si="1891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92"/>
        <v>217</v>
      </c>
      <c r="DPW37" s="492">
        <f t="shared" si="1893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94"/>
        <v>440</v>
      </c>
      <c r="DQE37" s="492">
        <f t="shared" si="1895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96"/>
        <v>0</v>
      </c>
      <c r="DQM37" s="492">
        <f t="shared" si="1897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98"/>
        <v>410</v>
      </c>
      <c r="DQU37" s="68">
        <f t="shared" si="1899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900"/>
        <v>0</v>
      </c>
      <c r="DRC37" s="492">
        <f t="shared" si="1901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902"/>
        <v>220</v>
      </c>
      <c r="DRK37" s="492">
        <f t="shared" si="1903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99"/>
        <v>0</v>
      </c>
      <c r="DRS37" s="68">
        <f t="shared" si="1600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601"/>
        <v>110</v>
      </c>
      <c r="DSA37" s="68">
        <f t="shared" si="1602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603"/>
        <v>0</v>
      </c>
      <c r="DSI37" s="68">
        <f t="shared" si="1604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605"/>
        <v>790</v>
      </c>
      <c r="DSQ37" s="68">
        <f t="shared" si="1606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7"/>
        <v>0</v>
      </c>
      <c r="DSY37" s="68">
        <f t="shared" si="1608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609"/>
        <v>111</v>
      </c>
      <c r="DTG37" s="68">
        <f t="shared" si="1610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611"/>
        <v>111</v>
      </c>
      <c r="DTO37" s="68">
        <f t="shared" si="1612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13"/>
        <v>0</v>
      </c>
      <c r="DTW37" s="68">
        <f t="shared" si="1614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15"/>
        <v>199</v>
      </c>
      <c r="DUE37" s="68">
        <f t="shared" si="1616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7"/>
        <v>0</v>
      </c>
      <c r="DUM37" s="68">
        <f t="shared" si="1618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19"/>
        <v>234</v>
      </c>
      <c r="DUU37" s="68">
        <f t="shared" si="1620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21"/>
        <v>0</v>
      </c>
      <c r="DVC37" s="68">
        <f t="shared" si="1622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23"/>
        <v>0</v>
      </c>
      <c r="DVK37" s="68">
        <f t="shared" si="1624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25"/>
        <v>223</v>
      </c>
      <c r="DVS37" s="68">
        <f t="shared" si="1626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27"/>
        <v>292</v>
      </c>
      <c r="DWA37" s="68">
        <f t="shared" si="1628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29"/>
        <v>0</v>
      </c>
      <c r="DWI37" s="68">
        <f t="shared" si="1630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31"/>
        <v>108</v>
      </c>
      <c r="DWQ37" s="68">
        <f t="shared" si="1632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33"/>
        <v>219</v>
      </c>
      <c r="DWY37" s="68">
        <f t="shared" si="1634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35"/>
        <v>110</v>
      </c>
      <c r="DXG37" s="68">
        <f t="shared" si="1636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37"/>
        <v>0</v>
      </c>
      <c r="DXO37" s="68">
        <f t="shared" si="1638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8"/>
        <v>218</v>
      </c>
      <c r="DXW37" s="68">
        <f t="shared" si="1329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30"/>
        <v>0</v>
      </c>
      <c r="DYE37" s="68">
        <f t="shared" si="1331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32"/>
        <v>211</v>
      </c>
      <c r="DYM37" s="68">
        <f t="shared" si="1333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4"/>
        <v>0</v>
      </c>
      <c r="DYU37" s="68">
        <f t="shared" si="1335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36"/>
        <v>0</v>
      </c>
      <c r="DZC37" s="68">
        <f t="shared" si="1337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8"/>
        <v>0</v>
      </c>
      <c r="DZK37" s="68">
        <f t="shared" si="1339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40"/>
        <v>110</v>
      </c>
      <c r="DZS37" s="68">
        <f t="shared" si="1341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42"/>
        <v>111</v>
      </c>
      <c r="EAA37" s="68">
        <f t="shared" si="1343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44"/>
        <v>0</v>
      </c>
      <c r="EAI37" s="68">
        <f t="shared" si="1345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46"/>
        <v>220</v>
      </c>
      <c r="EAQ37" s="68">
        <f t="shared" si="1347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8"/>
        <v>0</v>
      </c>
      <c r="EAY37" s="68">
        <f t="shared" si="1349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50"/>
        <v>0</v>
      </c>
      <c r="EBG37" s="68">
        <f t="shared" si="1351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52"/>
        <v>50</v>
      </c>
      <c r="EBO37" s="68">
        <f t="shared" si="1353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54"/>
        <v>40</v>
      </c>
      <c r="EBW37" s="68">
        <f t="shared" si="1355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56"/>
        <v>0</v>
      </c>
      <c r="ECE37" s="68">
        <f t="shared" si="1357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8"/>
        <v>220</v>
      </c>
      <c r="ECM37" s="68">
        <f t="shared" si="1359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60"/>
        <v>200</v>
      </c>
      <c r="ECU37" s="68">
        <f t="shared" si="1361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62"/>
        <v>110</v>
      </c>
      <c r="EDC37" s="68">
        <f t="shared" si="1363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64"/>
        <v>0</v>
      </c>
      <c r="EDK37" s="68">
        <f t="shared" si="1365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66"/>
        <v>110</v>
      </c>
      <c r="EDS37" s="68">
        <f t="shared" si="1367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8"/>
        <v>80</v>
      </c>
      <c r="EEA37" s="68">
        <f t="shared" si="1369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70"/>
        <v>100</v>
      </c>
      <c r="EEI37" s="68">
        <f t="shared" si="1371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72"/>
        <v>0</v>
      </c>
      <c r="EEQ37" s="68">
        <f t="shared" si="1373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74"/>
        <v>110</v>
      </c>
      <c r="EEY37" s="68">
        <f t="shared" si="1375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76"/>
        <v>0</v>
      </c>
      <c r="EFG37" s="68">
        <f t="shared" si="1377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8"/>
        <v>111</v>
      </c>
      <c r="EFO37" s="68">
        <f t="shared" si="1379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80"/>
        <v>0</v>
      </c>
      <c r="EFW37" s="68">
        <f t="shared" si="1381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82"/>
        <v>106</v>
      </c>
      <c r="EGE37" s="68">
        <f t="shared" si="1383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84"/>
        <v>100</v>
      </c>
      <c r="EGM37" s="68">
        <f t="shared" si="1385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86"/>
        <v>109</v>
      </c>
      <c r="EGU37" s="68">
        <f t="shared" si="1387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8"/>
        <v>0</v>
      </c>
      <c r="EHC37" s="68">
        <f t="shared" si="1389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90"/>
        <v>110</v>
      </c>
      <c r="EHK37" s="68">
        <f t="shared" si="1391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92"/>
        <v>201</v>
      </c>
      <c r="EHS37" s="68">
        <f t="shared" si="1393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94"/>
        <v>0</v>
      </c>
      <c r="EIA37" s="68">
        <f t="shared" si="1395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96"/>
        <v>0</v>
      </c>
      <c r="EII37" s="68">
        <f t="shared" si="1397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8"/>
        <v>0</v>
      </c>
      <c r="EIQ37" s="68">
        <f t="shared" si="1399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400"/>
        <v>110</v>
      </c>
      <c r="EIY37" s="68">
        <f t="shared" si="1401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402"/>
        <v>190</v>
      </c>
      <c r="EJG37" s="68">
        <f t="shared" si="1403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404"/>
        <v>0</v>
      </c>
      <c r="EJO37" s="68">
        <f t="shared" si="1405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406"/>
        <v>80</v>
      </c>
      <c r="EJW37" s="68">
        <f t="shared" si="1407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8"/>
        <v>111</v>
      </c>
      <c r="EKE37" s="68">
        <f t="shared" si="1409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10"/>
        <v>0</v>
      </c>
      <c r="EKM37" s="68">
        <f t="shared" si="1411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12"/>
        <v>220</v>
      </c>
      <c r="EKU37" s="184">
        <f t="shared" si="1413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14"/>
        <v>0</v>
      </c>
      <c r="ELD37" s="211">
        <f t="shared" si="1415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6"/>
        <v>201</v>
      </c>
      <c r="ELL37" s="211">
        <f t="shared" si="1417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8"/>
        <v>79</v>
      </c>
      <c r="ELT37" s="211">
        <f t="shared" si="1419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20"/>
        <v>0</v>
      </c>
      <c r="EMB37" s="211">
        <f t="shared" si="1421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22"/>
        <v>110</v>
      </c>
      <c r="EMJ37" s="211">
        <f t="shared" si="1423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24"/>
        <v>109</v>
      </c>
      <c r="EMR37" s="211">
        <f t="shared" si="1425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26"/>
        <v>226</v>
      </c>
      <c r="EMZ37" s="211">
        <f t="shared" si="1427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8"/>
        <v>0</v>
      </c>
      <c r="ENH37" s="211">
        <f t="shared" si="1429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30"/>
        <v>0</v>
      </c>
      <c r="ENP37" s="211">
        <f t="shared" si="1431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32"/>
        <v>150</v>
      </c>
      <c r="ENX37" s="211">
        <f t="shared" si="1433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34"/>
        <v>188</v>
      </c>
      <c r="EOF37" s="211">
        <f t="shared" si="1435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36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7"/>
        <v>0</v>
      </c>
      <c r="EOV37" s="211">
        <f t="shared" si="1438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9"/>
        <v>0</v>
      </c>
      <c r="EPD37" s="211">
        <f t="shared" si="1440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41"/>
        <v>110</v>
      </c>
      <c r="EPL37" s="211">
        <f t="shared" si="1442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43"/>
        <v>0</v>
      </c>
      <c r="EPT37" s="211">
        <f t="shared" si="1444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252</v>
      </c>
      <c r="EPZ37" s="49">
        <v>0</v>
      </c>
      <c r="EQA37" s="64">
        <f t="shared" si="1445"/>
        <v>252</v>
      </c>
      <c r="EQB37" s="211">
        <f t="shared" si="1446"/>
        <v>42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47"/>
        <v>110</v>
      </c>
      <c r="EQJ37" s="211">
        <f t="shared" si="1448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9"/>
        <v>0</v>
      </c>
      <c r="EQR37" s="211">
        <f t="shared" si="1450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51"/>
        <v>0</v>
      </c>
      <c r="EQZ37" s="211">
        <f t="shared" si="1452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53"/>
        <v>110</v>
      </c>
      <c r="ERH37" s="211">
        <f t="shared" si="1454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55"/>
        <v>100</v>
      </c>
      <c r="ERP37" s="211">
        <f t="shared" si="1456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57"/>
        <v>40</v>
      </c>
      <c r="ERX37" s="211">
        <f t="shared" si="1458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9"/>
        <v>96</v>
      </c>
      <c r="ESF37" s="211">
        <f t="shared" si="1460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61"/>
        <v>220</v>
      </c>
      <c r="ESN37" s="211">
        <f t="shared" si="1462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63"/>
        <v>0</v>
      </c>
      <c r="ESV37" s="211">
        <f t="shared" si="1464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5"/>
        <v>0</v>
      </c>
      <c r="ETD37" s="211">
        <f t="shared" si="1466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67"/>
        <v>40</v>
      </c>
      <c r="ETL37" s="211">
        <f t="shared" si="1468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9"/>
        <v>0</v>
      </c>
      <c r="ETT37" s="211">
        <f t="shared" si="1470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71"/>
        <v>110</v>
      </c>
      <c r="EUB37" s="211">
        <f t="shared" si="1472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73"/>
        <v>220</v>
      </c>
      <c r="EUJ37" s="211">
        <f t="shared" si="1474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75"/>
        <v>300</v>
      </c>
      <c r="EUR37" s="211">
        <f t="shared" si="1476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77"/>
        <v>0</v>
      </c>
      <c r="EUZ37" s="211">
        <f t="shared" si="1478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9"/>
        <v>418</v>
      </c>
      <c r="EVH37" s="211">
        <f t="shared" si="1480"/>
        <v>69.666666666666671</v>
      </c>
      <c r="EVI37" s="195">
        <v>0</v>
      </c>
      <c r="EVJ37" s="49">
        <v>0</v>
      </c>
      <c r="EVK37" s="49">
        <f>SUMIF(SUMPK!$B:$B,$B:$B,SUMPK!$O:$O)</f>
        <v>252</v>
      </c>
      <c r="EVL37" s="49"/>
      <c r="EVM37" s="49"/>
      <c r="EVN37" s="49">
        <v>0</v>
      </c>
      <c r="EVO37" s="808">
        <f t="shared" si="1481"/>
        <v>252</v>
      </c>
      <c r="EVP37" s="211">
        <f t="shared" si="1482"/>
        <v>42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83"/>
        <v>0</v>
      </c>
      <c r="EVX37" s="211">
        <f t="shared" si="1484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85"/>
        <v>1418</v>
      </c>
      <c r="EWF37" s="211">
        <f t="shared" si="1486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87"/>
        <v>911</v>
      </c>
      <c r="EWN37" s="211">
        <f t="shared" si="1488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9"/>
        <v>112</v>
      </c>
      <c r="EWV37" s="211">
        <f t="shared" si="1490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91"/>
        <v>0</v>
      </c>
      <c r="EXD37" s="211">
        <f t="shared" si="1492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93"/>
        <v>418</v>
      </c>
      <c r="EXL37" s="211">
        <f t="shared" si="1494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5"/>
        <v>0</v>
      </c>
      <c r="EXT37" s="211">
        <f t="shared" si="1496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7"/>
        <v>954</v>
      </c>
      <c r="EYB37" s="211">
        <f t="shared" si="1498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9"/>
        <v>813</v>
      </c>
      <c r="EYJ37" s="211">
        <f t="shared" si="1500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501"/>
        <v>873</v>
      </c>
      <c r="EYR37" s="211">
        <f t="shared" si="1502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503"/>
        <v>494</v>
      </c>
      <c r="EYZ37" s="873">
        <f t="shared" si="1504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505"/>
        <v>2865</v>
      </c>
      <c r="EZH37" s="873">
        <f t="shared" si="1506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>
        <v>0</v>
      </c>
      <c r="EZO37" s="872">
        <f t="shared" si="1507"/>
        <v>1389</v>
      </c>
      <c r="EZP37" s="873">
        <f t="shared" si="1508"/>
        <v>231.5</v>
      </c>
      <c r="EZQ37" s="458">
        <v>357</v>
      </c>
      <c r="EZR37" s="83"/>
      <c r="EZS37" s="83">
        <v>0</v>
      </c>
      <c r="EZT37" s="83">
        <v>491</v>
      </c>
      <c r="EZU37" s="83">
        <v>663</v>
      </c>
      <c r="EZV37" s="83">
        <v>0</v>
      </c>
      <c r="EZW37" s="872">
        <f t="shared" si="1509"/>
        <v>1511</v>
      </c>
      <c r="EZX37" s="873">
        <f t="shared" si="1510"/>
        <v>251.83333333333334</v>
      </c>
      <c r="EZY37" s="195">
        <v>977</v>
      </c>
      <c r="EZZ37" s="49">
        <v>0</v>
      </c>
      <c r="FAA37" s="49"/>
      <c r="FAB37" s="49"/>
      <c r="FAC37" s="49"/>
      <c r="FAD37" s="49"/>
      <c r="FAE37" s="872">
        <f t="shared" si="1511"/>
        <v>977</v>
      </c>
      <c r="FAF37" s="873">
        <f t="shared" si="1512"/>
        <v>162.83333333333334</v>
      </c>
    </row>
    <row r="38" spans="1:4088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6"/>
        <v>0</v>
      </c>
      <c r="L38" s="24">
        <f t="shared" si="1517"/>
        <v>3315</v>
      </c>
      <c r="M38" s="15">
        <f t="shared" si="1639"/>
        <v>3315</v>
      </c>
      <c r="N38" s="15">
        <v>0</v>
      </c>
      <c r="O38" s="276">
        <f t="shared" si="1229"/>
        <v>0</v>
      </c>
      <c r="P38" s="712">
        <v>17</v>
      </c>
      <c r="Q38" s="276"/>
      <c r="R38" s="277">
        <f t="shared" si="1519"/>
        <v>0</v>
      </c>
      <c r="S38" s="222"/>
      <c r="T38" s="276">
        <f t="shared" si="1640"/>
        <v>0</v>
      </c>
      <c r="U38" s="278"/>
      <c r="V38" s="276">
        <f t="shared" si="1233"/>
        <v>0</v>
      </c>
      <c r="W38" s="279">
        <f t="shared" si="1234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57"/>
        <v>0</v>
      </c>
      <c r="CFO38" s="68">
        <f t="shared" si="1658"/>
        <v>0</v>
      </c>
      <c r="CFP38" s="48"/>
      <c r="CFQ38" s="49"/>
      <c r="CFR38" s="49"/>
      <c r="CFS38" s="49"/>
      <c r="CFT38" s="49"/>
      <c r="CFU38" s="49"/>
      <c r="CFV38" s="67">
        <f t="shared" si="1659"/>
        <v>0</v>
      </c>
      <c r="CFW38" s="68">
        <f t="shared" si="1660"/>
        <v>0</v>
      </c>
      <c r="CFX38" s="48"/>
      <c r="CFY38" s="49"/>
      <c r="CFZ38" s="49"/>
      <c r="CGA38" s="49"/>
      <c r="CGB38" s="49"/>
      <c r="CGC38" s="49"/>
      <c r="CGD38" s="67">
        <f t="shared" si="1661"/>
        <v>0</v>
      </c>
      <c r="CGE38" s="68">
        <f t="shared" si="1662"/>
        <v>0</v>
      </c>
      <c r="CGF38" s="48"/>
      <c r="CGG38" s="49"/>
      <c r="CGH38" s="49"/>
      <c r="CGI38" s="49"/>
      <c r="CGJ38" s="49"/>
      <c r="CGK38" s="49"/>
      <c r="CGL38" s="67">
        <f t="shared" si="1663"/>
        <v>0</v>
      </c>
      <c r="CGM38" s="68">
        <f t="shared" si="1664"/>
        <v>0</v>
      </c>
      <c r="CGN38" s="48"/>
      <c r="CGO38" s="49"/>
      <c r="CGP38" s="49"/>
      <c r="CGQ38" s="49"/>
      <c r="CGR38" s="49"/>
      <c r="CGS38" s="49"/>
      <c r="CGT38" s="67">
        <f t="shared" si="1665"/>
        <v>0</v>
      </c>
      <c r="CGU38" s="68">
        <f t="shared" si="1666"/>
        <v>0</v>
      </c>
      <c r="CGV38" s="48"/>
      <c r="CGW38" s="49"/>
      <c r="CGX38" s="49"/>
      <c r="CGY38" s="49"/>
      <c r="CGZ38" s="49"/>
      <c r="CHA38" s="49"/>
      <c r="CHB38" s="67">
        <f t="shared" si="1667"/>
        <v>0</v>
      </c>
      <c r="CHC38" s="68">
        <f t="shared" si="1668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69"/>
        <v>496</v>
      </c>
      <c r="CHK38" s="68">
        <f t="shared" si="1670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71"/>
        <v>1455</v>
      </c>
      <c r="CHS38" s="68">
        <f t="shared" si="1672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73"/>
        <v>896</v>
      </c>
      <c r="CIA38" s="68">
        <f t="shared" si="1674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75"/>
        <v>3067</v>
      </c>
      <c r="CII38" s="68">
        <f t="shared" si="1676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77"/>
        <v>503</v>
      </c>
      <c r="CIQ38" s="68">
        <f t="shared" si="1678"/>
        <v>83.833333333333329</v>
      </c>
      <c r="CIR38" s="48"/>
      <c r="CIS38" s="49"/>
      <c r="CIT38" s="49"/>
      <c r="CIU38" s="49"/>
      <c r="CIV38" s="49"/>
      <c r="CIW38" s="49"/>
      <c r="CIX38" s="67">
        <f t="shared" si="1679"/>
        <v>0</v>
      </c>
      <c r="CIY38" s="68">
        <f t="shared" si="1680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81"/>
        <v>822</v>
      </c>
      <c r="CJG38" s="68">
        <f t="shared" si="1682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83"/>
        <v>3127</v>
      </c>
      <c r="CJO38" s="184">
        <f t="shared" si="1684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85"/>
        <v>1657</v>
      </c>
      <c r="CJW38" s="68">
        <f t="shared" si="1686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24"/>
        <v>1591</v>
      </c>
      <c r="CKE38" s="68">
        <f t="shared" si="1687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88"/>
        <v>1315</v>
      </c>
      <c r="CKM38" s="68">
        <f t="shared" si="1689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90"/>
        <v>1662</v>
      </c>
      <c r="CKU38" s="68">
        <f t="shared" si="1691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92"/>
        <v>2347</v>
      </c>
      <c r="CLC38" s="68">
        <f t="shared" si="1693"/>
        <v>391.16666666666669</v>
      </c>
      <c r="CLD38" s="48"/>
      <c r="CLE38" s="49"/>
      <c r="CLF38" s="49"/>
      <c r="CLG38" s="49"/>
      <c r="CLH38" s="49"/>
      <c r="CLI38" s="49"/>
      <c r="CLJ38" s="67">
        <f t="shared" si="1694"/>
        <v>0</v>
      </c>
      <c r="CLK38" s="68">
        <f t="shared" si="1695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96"/>
        <v>776</v>
      </c>
      <c r="CLS38" s="68">
        <f t="shared" si="1697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98"/>
        <v>1302</v>
      </c>
      <c r="CMA38" s="68">
        <f t="shared" si="1699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700"/>
        <v>1753</v>
      </c>
      <c r="CMI38" s="68">
        <f t="shared" si="1701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702"/>
        <v>1987</v>
      </c>
      <c r="CMQ38" s="68">
        <f t="shared" si="1703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704"/>
        <v>1307</v>
      </c>
      <c r="CMY38" s="68">
        <f t="shared" si="1705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706"/>
        <v>1427</v>
      </c>
      <c r="CNG38" s="68">
        <f t="shared" si="1707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708"/>
        <v>2258</v>
      </c>
      <c r="CNO38" s="68">
        <f t="shared" si="1709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710"/>
        <v>2436</v>
      </c>
      <c r="CNW38" s="68">
        <f t="shared" si="1711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12"/>
        <v>863</v>
      </c>
      <c r="COE38" s="68">
        <f t="shared" si="1713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14"/>
        <v>1837</v>
      </c>
      <c r="COM38" s="68">
        <f t="shared" si="1715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16"/>
        <v>1467</v>
      </c>
      <c r="COU38" s="68">
        <f t="shared" si="1717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18"/>
        <v>1021</v>
      </c>
      <c r="CPC38" s="68">
        <f t="shared" si="1719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20"/>
        <v>1407</v>
      </c>
      <c r="CPK38" s="68">
        <f t="shared" si="1721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22"/>
        <v>1370</v>
      </c>
      <c r="CPS38" s="68">
        <f t="shared" si="1723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24"/>
        <v>1140</v>
      </c>
      <c r="CQA38" s="68">
        <f t="shared" si="1725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26"/>
        <v>1637</v>
      </c>
      <c r="CQI38" s="68">
        <f t="shared" si="1727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28"/>
        <v>996</v>
      </c>
      <c r="CQQ38" s="68">
        <f t="shared" si="1729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30"/>
        <v>0</v>
      </c>
      <c r="CQY38" s="68">
        <f t="shared" si="1731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32"/>
        <v>660</v>
      </c>
      <c r="CRG38" s="68">
        <f t="shared" si="1733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34"/>
        <v>892</v>
      </c>
      <c r="CRO38" s="68">
        <f t="shared" si="1735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36"/>
        <v>1078</v>
      </c>
      <c r="CRW38" s="68">
        <f t="shared" si="1737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38"/>
        <v>111</v>
      </c>
      <c r="CSE38" s="68">
        <f t="shared" si="1739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40"/>
        <v>870</v>
      </c>
      <c r="CSM38" s="68">
        <f t="shared" si="1741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42"/>
        <v>399</v>
      </c>
      <c r="CSU38" s="68">
        <f t="shared" si="1743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44"/>
        <v>2305</v>
      </c>
      <c r="CTC38" s="68">
        <f t="shared" si="1745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46"/>
        <v>220</v>
      </c>
      <c r="CTK38" s="68">
        <f t="shared" si="1747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48"/>
        <v>218</v>
      </c>
      <c r="CTS38" s="68">
        <f t="shared" si="1749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50"/>
        <v>1494</v>
      </c>
      <c r="CUA38" s="68">
        <f t="shared" si="1751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52"/>
        <v>220</v>
      </c>
      <c r="CUI38" s="68">
        <f t="shared" si="1753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54"/>
        <v>986</v>
      </c>
      <c r="CUQ38" s="68">
        <f t="shared" si="1755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56"/>
        <v>220</v>
      </c>
      <c r="CUY38" s="68">
        <f t="shared" si="1757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58"/>
        <v>329</v>
      </c>
      <c r="CVG38" s="68">
        <f t="shared" si="1759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60"/>
        <v>966</v>
      </c>
      <c r="CVO38" s="68">
        <f t="shared" si="1761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62"/>
        <v>733</v>
      </c>
      <c r="CVW38" s="68">
        <f t="shared" si="1763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64"/>
        <v>500</v>
      </c>
      <c r="CWE38" s="68">
        <f t="shared" si="1765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66"/>
        <v>1475</v>
      </c>
      <c r="CWM38" s="68">
        <f t="shared" si="1767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68"/>
        <v>220</v>
      </c>
      <c r="CWU38" s="68">
        <f t="shared" si="1769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70"/>
        <v>2378</v>
      </c>
      <c r="CXC38" s="43">
        <f t="shared" si="1771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72"/>
        <v>723</v>
      </c>
      <c r="CXK38" s="43">
        <f t="shared" si="1773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74"/>
        <v>1036</v>
      </c>
      <c r="CXS38" s="43">
        <f t="shared" si="1775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76"/>
        <v>2608</v>
      </c>
      <c r="CYA38" s="43">
        <f t="shared" si="1777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78"/>
        <v>1599</v>
      </c>
      <c r="CYI38" s="43">
        <f t="shared" si="1779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80"/>
        <v>0</v>
      </c>
      <c r="CYQ38" s="43">
        <f t="shared" si="1781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82"/>
        <v>220</v>
      </c>
      <c r="CYY38" s="43">
        <f t="shared" si="1783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84"/>
        <v>660</v>
      </c>
      <c r="CZG38" s="43">
        <f t="shared" si="1785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86"/>
        <v>2321</v>
      </c>
      <c r="CZO38" s="43">
        <f t="shared" si="1787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88"/>
        <v>800</v>
      </c>
      <c r="CZW38" s="43">
        <f t="shared" si="1789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90"/>
        <v>772</v>
      </c>
      <c r="DAE38" s="68">
        <f t="shared" si="1791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92"/>
        <v>100</v>
      </c>
      <c r="DAM38" s="68">
        <f t="shared" si="1793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94"/>
        <v>0</v>
      </c>
      <c r="DAU38" s="68">
        <f t="shared" si="1795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96"/>
        <v>1319</v>
      </c>
      <c r="DBC38" s="68">
        <f t="shared" si="1797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98"/>
        <v>220</v>
      </c>
      <c r="DBK38" s="68">
        <f t="shared" si="1799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800"/>
        <v>2388</v>
      </c>
      <c r="DBS38" s="68">
        <f t="shared" si="1801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802"/>
        <v>398</v>
      </c>
      <c r="DCA38" s="68">
        <f t="shared" si="1803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804"/>
        <v>2488</v>
      </c>
      <c r="DCI38" s="68">
        <f t="shared" si="1805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806"/>
        <v>1076</v>
      </c>
      <c r="DCQ38" s="68">
        <f t="shared" si="1807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808"/>
        <v>338</v>
      </c>
      <c r="DCY38" s="68">
        <f t="shared" si="1809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810"/>
        <v>419</v>
      </c>
      <c r="DDG38" s="68">
        <f t="shared" si="1811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12"/>
        <v>1184</v>
      </c>
      <c r="DDO38" s="43">
        <f t="shared" si="1813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14"/>
        <v>1199</v>
      </c>
      <c r="DDW38" s="43">
        <f t="shared" si="1815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16"/>
        <v>1126</v>
      </c>
      <c r="DEE38" s="43">
        <f t="shared" si="1817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18"/>
        <v>220</v>
      </c>
      <c r="DEM38" s="43">
        <f t="shared" si="1819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20"/>
        <v>961</v>
      </c>
      <c r="DEU38" s="43">
        <f t="shared" si="1821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22"/>
        <v>558</v>
      </c>
      <c r="DFC38" s="43">
        <f t="shared" si="1823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24"/>
        <v>1579</v>
      </c>
      <c r="DFK38" s="43">
        <f t="shared" si="1825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26"/>
        <v>821</v>
      </c>
      <c r="DFS38" s="68">
        <f t="shared" si="1827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28"/>
        <v>440</v>
      </c>
      <c r="DGA38" s="43">
        <f t="shared" si="1829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30"/>
        <v>774</v>
      </c>
      <c r="DGI38" s="43">
        <f t="shared" si="1831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32"/>
        <v>663</v>
      </c>
      <c r="DGQ38" s="68">
        <f t="shared" si="1833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34"/>
        <v>941</v>
      </c>
      <c r="DGY38" s="68">
        <f t="shared" si="1835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36"/>
        <v>221</v>
      </c>
      <c r="DHG38" s="68">
        <f t="shared" si="1837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38"/>
        <v>649</v>
      </c>
      <c r="DHO38" s="68">
        <f t="shared" si="1839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40"/>
        <v>0</v>
      </c>
      <c r="DHW38" s="68">
        <f t="shared" si="1841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42"/>
        <v>486</v>
      </c>
      <c r="DIE38" s="68">
        <f t="shared" si="1843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44"/>
        <v>441</v>
      </c>
      <c r="DIM38" s="68">
        <f t="shared" si="1845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46"/>
        <v>1043</v>
      </c>
      <c r="DIU38" s="68">
        <f t="shared" si="1847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48"/>
        <v>1039</v>
      </c>
      <c r="DJC38" s="68">
        <f t="shared" si="1849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50"/>
        <v>1791</v>
      </c>
      <c r="DJK38" s="68">
        <f t="shared" si="1851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52"/>
        <v>221</v>
      </c>
      <c r="DJS38" s="68">
        <f t="shared" si="1853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54"/>
        <v>1037</v>
      </c>
      <c r="DKA38" s="68">
        <f t="shared" si="1855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56"/>
        <v>251</v>
      </c>
      <c r="DKI38" s="68">
        <f t="shared" si="1857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58"/>
        <v>110</v>
      </c>
      <c r="DKQ38" s="68">
        <f t="shared" si="1859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60"/>
        <v>1653</v>
      </c>
      <c r="DKY38" s="68">
        <f t="shared" si="1861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62"/>
        <v>1559</v>
      </c>
      <c r="DLG38" s="68">
        <f t="shared" si="1863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64"/>
        <v>120</v>
      </c>
      <c r="DLO38" s="68">
        <f t="shared" si="1865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66"/>
        <v>1186</v>
      </c>
      <c r="DLW38" s="68">
        <f t="shared" si="1867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68"/>
        <v>160</v>
      </c>
      <c r="DME38" s="68">
        <f t="shared" si="1869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70"/>
        <v>1208</v>
      </c>
      <c r="DMM38" s="68">
        <f t="shared" si="1871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72"/>
        <v>440</v>
      </c>
      <c r="DMU38" s="68">
        <f t="shared" si="1873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74"/>
        <v>977</v>
      </c>
      <c r="DNC38" s="68">
        <f t="shared" si="1875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76"/>
        <v>930</v>
      </c>
      <c r="DNK38" s="68">
        <f t="shared" si="1877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78"/>
        <v>1320</v>
      </c>
      <c r="DNS38" s="68">
        <f t="shared" si="1879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80"/>
        <v>1878</v>
      </c>
      <c r="DOA38" s="68">
        <f t="shared" si="1881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82"/>
        <v>111</v>
      </c>
      <c r="DOI38" s="68">
        <f t="shared" si="1883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84"/>
        <v>0</v>
      </c>
      <c r="DOQ38" s="68">
        <f t="shared" si="1885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86"/>
        <v>0</v>
      </c>
      <c r="DOY38" s="68">
        <f t="shared" si="1887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88"/>
        <v>0</v>
      </c>
      <c r="DPG38" s="68">
        <f t="shared" si="1889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90"/>
        <v>110</v>
      </c>
      <c r="DPO38" s="68">
        <f t="shared" si="1891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92"/>
        <v>1320</v>
      </c>
      <c r="DPW38" s="492">
        <f t="shared" si="1893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94"/>
        <v>1737</v>
      </c>
      <c r="DQE38" s="492">
        <f t="shared" si="1895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96"/>
        <v>711</v>
      </c>
      <c r="DQM38" s="492">
        <f t="shared" si="1897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98"/>
        <v>1315</v>
      </c>
      <c r="DQU38" s="68">
        <f t="shared" si="1899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900"/>
        <v>1265</v>
      </c>
      <c r="DRC38" s="492">
        <f t="shared" si="1901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902"/>
        <v>330</v>
      </c>
      <c r="DRK38" s="492">
        <f t="shared" si="1903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99"/>
        <v>1446</v>
      </c>
      <c r="DRS38" s="68">
        <f t="shared" si="1600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601"/>
        <v>0</v>
      </c>
      <c r="DSA38" s="68">
        <f t="shared" si="1602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603"/>
        <v>727</v>
      </c>
      <c r="DSI38" s="68">
        <f t="shared" si="1604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605"/>
        <v>0</v>
      </c>
      <c r="DSQ38" s="68">
        <f t="shared" si="1606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607"/>
        <v>220</v>
      </c>
      <c r="DSY38" s="68">
        <f t="shared" si="1608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609"/>
        <v>500</v>
      </c>
      <c r="DTG38" s="68">
        <f t="shared" si="1610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611"/>
        <v>221</v>
      </c>
      <c r="DTO38" s="68">
        <f t="shared" si="1612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13"/>
        <v>220</v>
      </c>
      <c r="DTW38" s="68">
        <f t="shared" si="1614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15"/>
        <v>0</v>
      </c>
      <c r="DUE38" s="68">
        <f t="shared" si="1616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7"/>
        <v>0</v>
      </c>
      <c r="DUM38" s="68">
        <f t="shared" si="1618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19"/>
        <v>666</v>
      </c>
      <c r="DUU38" s="68">
        <f t="shared" si="1620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21"/>
        <v>331</v>
      </c>
      <c r="DVC38" s="68">
        <f t="shared" si="1622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23"/>
        <v>768</v>
      </c>
      <c r="DVK38" s="68">
        <f t="shared" si="1624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25"/>
        <v>0</v>
      </c>
      <c r="DVS38" s="68">
        <f t="shared" si="1626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27"/>
        <v>0</v>
      </c>
      <c r="DWA38" s="68">
        <f t="shared" si="1628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29"/>
        <v>27</v>
      </c>
      <c r="DWI38" s="68">
        <f t="shared" si="1630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31"/>
        <v>245</v>
      </c>
      <c r="DWQ38" s="68">
        <f t="shared" si="1632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33"/>
        <v>102</v>
      </c>
      <c r="DWY38" s="68">
        <f t="shared" si="1634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35"/>
        <v>110</v>
      </c>
      <c r="DXG38" s="68">
        <f t="shared" si="1636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37"/>
        <v>108</v>
      </c>
      <c r="DXO38" s="68">
        <f t="shared" si="1638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8"/>
        <v>111</v>
      </c>
      <c r="DXW38" s="68">
        <f t="shared" si="1329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30"/>
        <v>110</v>
      </c>
      <c r="DYE38" s="68">
        <f t="shared" si="1331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32"/>
        <v>104</v>
      </c>
      <c r="DYM38" s="68">
        <f t="shared" si="1333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34"/>
        <v>110</v>
      </c>
      <c r="DYU38" s="68">
        <f t="shared" si="1335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6"/>
        <v>40</v>
      </c>
      <c r="DZC38" s="68">
        <f t="shared" si="1337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8"/>
        <v>220</v>
      </c>
      <c r="DZK38" s="68">
        <f t="shared" si="1339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40"/>
        <v>0</v>
      </c>
      <c r="DZS38" s="68">
        <f t="shared" si="1341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42"/>
        <v>0</v>
      </c>
      <c r="EAA38" s="68">
        <f t="shared" si="1343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4"/>
        <v>0</v>
      </c>
      <c r="EAI38" s="68">
        <f t="shared" si="1345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46"/>
        <v>120</v>
      </c>
      <c r="EAQ38" s="68">
        <f t="shared" si="1347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8"/>
        <v>162</v>
      </c>
      <c r="EAY38" s="68">
        <f t="shared" si="1349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50"/>
        <v>0</v>
      </c>
      <c r="EBG38" s="68">
        <f t="shared" si="1351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52"/>
        <v>212</v>
      </c>
      <c r="EBO38" s="68">
        <f t="shared" si="1353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54"/>
        <v>0</v>
      </c>
      <c r="EBW38" s="68">
        <f t="shared" si="1355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6"/>
        <v>0</v>
      </c>
      <c r="ECE38" s="68">
        <f t="shared" si="1357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8"/>
        <v>110</v>
      </c>
      <c r="ECM38" s="68">
        <f t="shared" si="1359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60"/>
        <v>110</v>
      </c>
      <c r="ECU38" s="68">
        <f t="shared" si="1361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62"/>
        <v>109</v>
      </c>
      <c r="EDC38" s="68">
        <f t="shared" si="1363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4"/>
        <v>0</v>
      </c>
      <c r="EDK38" s="68">
        <f t="shared" si="1365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66"/>
        <v>110</v>
      </c>
      <c r="EDS38" s="68">
        <f t="shared" si="1367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8"/>
        <v>220</v>
      </c>
      <c r="EEA38" s="68">
        <f t="shared" si="1369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70"/>
        <v>0</v>
      </c>
      <c r="EEI38" s="68">
        <f t="shared" si="1371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72"/>
        <v>110</v>
      </c>
      <c r="EEQ38" s="68">
        <f t="shared" si="1373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74"/>
        <v>0</v>
      </c>
      <c r="EEY38" s="68">
        <f t="shared" si="1375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76"/>
        <v>220</v>
      </c>
      <c r="EFG38" s="68">
        <f t="shared" si="1377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8"/>
        <v>0</v>
      </c>
      <c r="EFO38" s="68">
        <f t="shared" si="1379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80"/>
        <v>167</v>
      </c>
      <c r="EFW38" s="68">
        <f t="shared" si="1381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82"/>
        <v>153</v>
      </c>
      <c r="EGE38" s="68">
        <f t="shared" si="1383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84"/>
        <v>111</v>
      </c>
      <c r="EGM38" s="68">
        <f t="shared" si="1385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86"/>
        <v>487</v>
      </c>
      <c r="EGU38" s="68">
        <f t="shared" si="1387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8"/>
        <v>765</v>
      </c>
      <c r="EHC38" s="68">
        <f t="shared" si="1389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90"/>
        <v>1032</v>
      </c>
      <c r="EHK38" s="68">
        <f t="shared" si="1391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92"/>
        <v>806</v>
      </c>
      <c r="EHS38" s="68">
        <f t="shared" si="1393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94"/>
        <v>1211</v>
      </c>
      <c r="EIA38" s="68">
        <f t="shared" si="1395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6"/>
        <v>330</v>
      </c>
      <c r="EII38" s="68">
        <f t="shared" si="1397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8"/>
        <v>516</v>
      </c>
      <c r="EIQ38" s="68">
        <f t="shared" si="1399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400"/>
        <v>0</v>
      </c>
      <c r="EIY38" s="68">
        <f t="shared" si="1401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402"/>
        <v>2237</v>
      </c>
      <c r="EJG38" s="68">
        <f t="shared" si="1403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4"/>
        <v>0</v>
      </c>
      <c r="EJO38" s="68">
        <f t="shared" si="1405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406"/>
        <v>879</v>
      </c>
      <c r="EJW38" s="68">
        <f t="shared" si="1407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8"/>
        <v>44</v>
      </c>
      <c r="EKE38" s="68">
        <f t="shared" si="1409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10"/>
        <v>932</v>
      </c>
      <c r="EKM38" s="68">
        <f t="shared" si="1411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12"/>
        <v>747</v>
      </c>
      <c r="EKU38" s="184">
        <f t="shared" si="1413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4"/>
        <v>0</v>
      </c>
      <c r="ELD38" s="211">
        <f t="shared" si="1415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6"/>
        <v>1398</v>
      </c>
      <c r="ELL38" s="211">
        <f t="shared" si="1417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8"/>
        <v>661</v>
      </c>
      <c r="ELT38" s="211">
        <f t="shared" si="1419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20"/>
        <v>810</v>
      </c>
      <c r="EMB38" s="211">
        <f t="shared" si="1421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22"/>
        <v>341</v>
      </c>
      <c r="EMJ38" s="211">
        <f t="shared" si="1423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24"/>
        <v>1833</v>
      </c>
      <c r="EMR38" s="211">
        <f t="shared" si="1425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26"/>
        <v>552</v>
      </c>
      <c r="EMZ38" s="211">
        <f t="shared" si="1427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8"/>
        <v>1545</v>
      </c>
      <c r="ENH38" s="211">
        <f t="shared" si="1429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30"/>
        <v>607</v>
      </c>
      <c r="ENP38" s="211">
        <f t="shared" si="1431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32"/>
        <v>2636</v>
      </c>
      <c r="ENX38" s="211">
        <f t="shared" si="1433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34"/>
        <v>0</v>
      </c>
      <c r="EOF38" s="211">
        <f t="shared" si="1435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36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37"/>
        <v>1234</v>
      </c>
      <c r="EOV38" s="211">
        <f t="shared" si="1438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9"/>
        <v>1454</v>
      </c>
      <c r="EPD38" s="211">
        <f t="shared" si="1440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41"/>
        <v>2103</v>
      </c>
      <c r="EPL38" s="211">
        <f t="shared" si="1442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43"/>
        <v>2161</v>
      </c>
      <c r="EPT38" s="211">
        <f t="shared" si="1444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45"/>
        <v>722</v>
      </c>
      <c r="EQB38" s="211">
        <f t="shared" si="1446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47"/>
        <v>0</v>
      </c>
      <c r="EQJ38" s="211">
        <f t="shared" si="1448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9"/>
        <v>1565</v>
      </c>
      <c r="EQR38" s="211">
        <f t="shared" si="1450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51"/>
        <v>0</v>
      </c>
      <c r="EQZ38" s="211">
        <f t="shared" si="1452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53"/>
        <v>1755</v>
      </c>
      <c r="ERH38" s="211">
        <f t="shared" si="1454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55"/>
        <v>0</v>
      </c>
      <c r="ERP38" s="211">
        <f t="shared" si="1456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57"/>
        <v>0</v>
      </c>
      <c r="ERX38" s="211">
        <f t="shared" si="1458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9"/>
        <v>0</v>
      </c>
      <c r="ESF38" s="211">
        <f t="shared" si="1460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61"/>
        <v>0</v>
      </c>
      <c r="ESN38" s="211">
        <f t="shared" si="1462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63"/>
        <v>40</v>
      </c>
      <c r="ESV38" s="211">
        <f t="shared" si="1464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5"/>
        <v>0</v>
      </c>
      <c r="ETD38" s="211">
        <f t="shared" si="1466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67"/>
        <v>0</v>
      </c>
      <c r="ETL38" s="211">
        <f t="shared" si="1468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9"/>
        <v>90</v>
      </c>
      <c r="ETT38" s="211">
        <f t="shared" si="1470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71"/>
        <v>0</v>
      </c>
      <c r="EUB38" s="211">
        <f t="shared" si="1472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73"/>
        <v>0</v>
      </c>
      <c r="EUJ38" s="211">
        <f t="shared" si="1474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75"/>
        <v>0</v>
      </c>
      <c r="EUR38" s="211">
        <f t="shared" si="1476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7"/>
        <v>0</v>
      </c>
      <c r="EUZ38" s="211">
        <f t="shared" si="1478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9"/>
        <v>0</v>
      </c>
      <c r="EVH38" s="211">
        <f t="shared" si="1480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81"/>
        <v>0</v>
      </c>
      <c r="EVP38" s="211">
        <f t="shared" si="1482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83"/>
        <v>0</v>
      </c>
      <c r="EVX38" s="211">
        <f t="shared" si="1484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85"/>
        <v>0</v>
      </c>
      <c r="EWF38" s="211">
        <f t="shared" si="1486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87"/>
        <v>0</v>
      </c>
      <c r="EWN38" s="211">
        <f t="shared" si="1488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9"/>
        <v>0</v>
      </c>
      <c r="EWV38" s="211">
        <f t="shared" si="1490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91"/>
        <v>0</v>
      </c>
      <c r="EXD38" s="211">
        <f t="shared" si="1492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93"/>
        <v>0</v>
      </c>
      <c r="EXL38" s="211">
        <f t="shared" si="1494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5"/>
        <v>0</v>
      </c>
      <c r="EXT38" s="211">
        <f t="shared" si="1496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7"/>
        <v>0</v>
      </c>
      <c r="EYB38" s="211">
        <f t="shared" si="1498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9"/>
        <v>0</v>
      </c>
      <c r="EYJ38" s="211">
        <f t="shared" si="1500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501"/>
        <v>0</v>
      </c>
      <c r="EYR38" s="211">
        <f t="shared" si="1502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503"/>
        <v>0</v>
      </c>
      <c r="EYZ38" s="873">
        <f t="shared" si="1504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505"/>
        <v>0</v>
      </c>
      <c r="EZH38" s="873">
        <f t="shared" si="1506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>
        <v>0</v>
      </c>
      <c r="EZO38" s="872">
        <f t="shared" si="1507"/>
        <v>0</v>
      </c>
      <c r="EZP38" s="873">
        <f t="shared" si="1508"/>
        <v>0</v>
      </c>
      <c r="EZQ38" s="458">
        <v>0</v>
      </c>
      <c r="EZR38" s="83"/>
      <c r="EZS38" s="83">
        <v>0</v>
      </c>
      <c r="EZT38" s="83">
        <v>0</v>
      </c>
      <c r="EZU38" s="83">
        <v>0</v>
      </c>
      <c r="EZV38" s="83">
        <v>0</v>
      </c>
      <c r="EZW38" s="872">
        <f t="shared" si="1509"/>
        <v>0</v>
      </c>
      <c r="EZX38" s="873">
        <f t="shared" si="1510"/>
        <v>0</v>
      </c>
      <c r="EZY38" s="195">
        <v>0</v>
      </c>
      <c r="EZZ38" s="49">
        <v>0</v>
      </c>
      <c r="FAA38" s="49"/>
      <c r="FAB38" s="49"/>
      <c r="FAC38" s="49"/>
      <c r="FAD38" s="49"/>
      <c r="FAE38" s="872">
        <f t="shared" si="1511"/>
        <v>0</v>
      </c>
      <c r="FAF38" s="873">
        <f t="shared" si="1512"/>
        <v>0</v>
      </c>
    </row>
    <row r="39" spans="1:4088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6"/>
        <v>0</v>
      </c>
      <c r="L39" s="24">
        <f t="shared" si="1517"/>
        <v>2106</v>
      </c>
      <c r="M39" s="15">
        <f t="shared" si="1639"/>
        <v>2106</v>
      </c>
      <c r="N39" s="15">
        <v>0</v>
      </c>
      <c r="O39" s="276">
        <f t="shared" si="1229"/>
        <v>0</v>
      </c>
      <c r="P39" s="712">
        <v>55</v>
      </c>
      <c r="Q39" s="276">
        <f t="shared" si="1518"/>
        <v>229.74545454545455</v>
      </c>
      <c r="R39" s="277">
        <f t="shared" si="1519"/>
        <v>61.53846153846154</v>
      </c>
      <c r="S39" s="222">
        <v>1600</v>
      </c>
      <c r="T39" s="276">
        <f t="shared" si="1640"/>
        <v>34.222499999999997</v>
      </c>
      <c r="U39" s="278"/>
      <c r="V39" s="276">
        <f t="shared" si="1233"/>
        <v>34.222499999999997</v>
      </c>
      <c r="W39" s="279">
        <f t="shared" si="1234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904"/>
        <v>814</v>
      </c>
      <c r="AK39" s="43">
        <f t="shared" si="1905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906"/>
        <v>600</v>
      </c>
      <c r="AS39" s="43">
        <f t="shared" si="1907"/>
        <v>100</v>
      </c>
      <c r="AT39" s="48"/>
      <c r="AU39" s="49"/>
      <c r="AV39" s="49"/>
      <c r="AW39" s="49">
        <v>404</v>
      </c>
      <c r="AX39" s="49"/>
      <c r="AY39" s="49"/>
      <c r="AZ39" s="42">
        <f t="shared" si="1908"/>
        <v>404</v>
      </c>
      <c r="BA39" s="43">
        <f t="shared" si="1909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910"/>
        <v>1396</v>
      </c>
      <c r="BI39" s="43">
        <f t="shared" si="1911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12"/>
        <v>602</v>
      </c>
      <c r="BQ39" s="43">
        <f t="shared" si="1913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14"/>
        <v>997</v>
      </c>
      <c r="BY39" s="43">
        <f t="shared" si="1915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16"/>
        <v>404</v>
      </c>
      <c r="CG39" s="43">
        <f t="shared" si="1917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18"/>
        <v>400</v>
      </c>
      <c r="CO39" s="43">
        <f t="shared" si="1919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20"/>
        <v>1001</v>
      </c>
      <c r="CW39" s="43">
        <f t="shared" si="1921"/>
        <v>166.83333333333334</v>
      </c>
      <c r="CX39" s="48"/>
      <c r="CY39" s="49"/>
      <c r="CZ39" s="49"/>
      <c r="DA39" s="49"/>
      <c r="DB39" s="49"/>
      <c r="DC39" s="49"/>
      <c r="DD39" s="42">
        <f t="shared" si="1922"/>
        <v>0</v>
      </c>
      <c r="DE39" s="43">
        <f t="shared" si="1923"/>
        <v>0</v>
      </c>
      <c r="DF39" s="48"/>
      <c r="DG39" s="49"/>
      <c r="DH39" s="49"/>
      <c r="DI39" s="49"/>
      <c r="DJ39" s="49">
        <v>299</v>
      </c>
      <c r="DK39" s="49"/>
      <c r="DL39" s="42">
        <f t="shared" si="1924"/>
        <v>299</v>
      </c>
      <c r="DM39" s="43">
        <f t="shared" si="1925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26"/>
        <v>600</v>
      </c>
      <c r="DU39" s="43">
        <f t="shared" si="1927"/>
        <v>100</v>
      </c>
      <c r="DV39" s="48"/>
      <c r="DW39" s="49"/>
      <c r="DX39" s="49">
        <v>200</v>
      </c>
      <c r="DY39" s="49"/>
      <c r="DZ39" s="49"/>
      <c r="EA39" s="49"/>
      <c r="EB39" s="42">
        <f t="shared" si="1928"/>
        <v>200</v>
      </c>
      <c r="EC39" s="43">
        <f t="shared" si="1929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30"/>
        <v>721</v>
      </c>
      <c r="EK39" s="43">
        <f t="shared" si="1931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32"/>
        <v>395</v>
      </c>
      <c r="ES39" s="43">
        <f t="shared" si="1933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34"/>
        <v>600</v>
      </c>
      <c r="FA39" s="43">
        <f t="shared" si="1935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36"/>
        <v>786</v>
      </c>
      <c r="FI39" s="43">
        <f t="shared" si="1937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38"/>
        <v>300</v>
      </c>
      <c r="FQ39" s="43">
        <f t="shared" si="1939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40"/>
        <v>794</v>
      </c>
      <c r="FY39" s="43">
        <f t="shared" si="1941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42"/>
        <v>603</v>
      </c>
      <c r="GG39" s="43">
        <f t="shared" si="1943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44"/>
        <v>200</v>
      </c>
      <c r="GO39" s="43">
        <f t="shared" si="1945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46"/>
        <v>1375</v>
      </c>
      <c r="GW39" s="43">
        <f t="shared" si="1947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48"/>
        <v>399</v>
      </c>
      <c r="HE39" s="43">
        <f t="shared" si="1949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50"/>
        <v>594</v>
      </c>
      <c r="HM39" s="43">
        <f t="shared" si="1951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52"/>
        <v>1000</v>
      </c>
      <c r="HU39" s="43">
        <f t="shared" si="1953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54"/>
        <v>799</v>
      </c>
      <c r="IC39" s="43">
        <f t="shared" si="1955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56"/>
        <v>600</v>
      </c>
      <c r="IK39" s="43">
        <f t="shared" si="1957"/>
        <v>100</v>
      </c>
      <c r="IL39" s="48"/>
      <c r="IM39" s="49"/>
      <c r="IN39" s="49"/>
      <c r="IO39" s="49"/>
      <c r="IP39" s="49"/>
      <c r="IQ39" s="49"/>
      <c r="IR39" s="67">
        <f t="shared" si="1958"/>
        <v>0</v>
      </c>
      <c r="IS39" s="68">
        <f t="shared" si="1959"/>
        <v>0</v>
      </c>
      <c r="IT39" s="48"/>
      <c r="IU39" s="49"/>
      <c r="IV39" s="49"/>
      <c r="IW39" s="49"/>
      <c r="IX39" s="49"/>
      <c r="IY39" s="49">
        <v>100</v>
      </c>
      <c r="IZ39" s="67">
        <f t="shared" si="1960"/>
        <v>100</v>
      </c>
      <c r="JA39" s="68">
        <f t="shared" si="1961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62"/>
        <v>374</v>
      </c>
      <c r="JI39" s="68">
        <f t="shared" si="1963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64"/>
        <v>1007</v>
      </c>
      <c r="JQ39" s="43">
        <f t="shared" si="1965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66"/>
        <v>1066</v>
      </c>
      <c r="JY39" s="43">
        <f t="shared" si="1967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68"/>
        <v>608</v>
      </c>
      <c r="KG39" s="43">
        <f t="shared" si="1969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70"/>
        <v>198</v>
      </c>
      <c r="KO39" s="68">
        <f t="shared" si="1971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72"/>
        <v>783</v>
      </c>
      <c r="KW39" s="68">
        <f t="shared" si="1973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74"/>
        <v>598</v>
      </c>
      <c r="LE39" s="68">
        <f t="shared" si="1975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76"/>
        <v>400</v>
      </c>
      <c r="LM39" s="68">
        <f t="shared" si="1977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78"/>
        <v>799</v>
      </c>
      <c r="LU39" s="68">
        <f t="shared" si="1979"/>
        <v>133.16666666666666</v>
      </c>
      <c r="LV39" s="48"/>
      <c r="LW39" s="49"/>
      <c r="LX39" s="49"/>
      <c r="LY39" s="49"/>
      <c r="LZ39" s="49"/>
      <c r="MA39" s="49"/>
      <c r="MB39" s="67">
        <f t="shared" si="1980"/>
        <v>0</v>
      </c>
      <c r="MC39" s="68">
        <f t="shared" si="1981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82"/>
        <v>499</v>
      </c>
      <c r="MK39" s="68">
        <f t="shared" si="1983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84"/>
        <v>781</v>
      </c>
      <c r="MS39" s="68">
        <f t="shared" si="1985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86"/>
        <v>393</v>
      </c>
      <c r="NA39" s="68">
        <f t="shared" si="1987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88"/>
        <v>598</v>
      </c>
      <c r="NI39" s="68">
        <f t="shared" si="1989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90"/>
        <v>997</v>
      </c>
      <c r="NQ39" s="68">
        <f t="shared" si="1991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92"/>
        <v>390</v>
      </c>
      <c r="NY39" s="68">
        <f t="shared" si="1993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94"/>
        <v>778</v>
      </c>
      <c r="OG39" s="68">
        <f t="shared" si="1995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96"/>
        <v>377</v>
      </c>
      <c r="OO39" s="68">
        <f t="shared" si="1997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98"/>
        <v>1034</v>
      </c>
      <c r="OW39" s="68">
        <f t="shared" si="1999"/>
        <v>172.33333333333334</v>
      </c>
      <c r="OX39" s="48"/>
      <c r="OY39" s="49"/>
      <c r="OZ39" s="49"/>
      <c r="PA39" s="49"/>
      <c r="PB39" s="49"/>
      <c r="PC39" s="49"/>
      <c r="PD39" s="67">
        <f t="shared" si="2000"/>
        <v>0</v>
      </c>
      <c r="PE39" s="68">
        <f t="shared" si="2001"/>
        <v>0</v>
      </c>
      <c r="PF39" s="48">
        <v>607</v>
      </c>
      <c r="PG39" s="49"/>
      <c r="PH39" s="49"/>
      <c r="PI39" s="49"/>
      <c r="PJ39" s="49"/>
      <c r="PK39" s="49"/>
      <c r="PL39" s="67">
        <f t="shared" si="2002"/>
        <v>607</v>
      </c>
      <c r="PM39" s="68">
        <f t="shared" si="2003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2004"/>
        <v>200</v>
      </c>
      <c r="PU39" s="68">
        <f t="shared" si="2005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2006"/>
        <v>804</v>
      </c>
      <c r="QC39" s="105">
        <f t="shared" si="2007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2008"/>
        <v>589</v>
      </c>
      <c r="QK39" s="105">
        <f t="shared" si="2009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2010"/>
        <v>796</v>
      </c>
      <c r="QS39" s="105">
        <f t="shared" si="2011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12"/>
        <v>793</v>
      </c>
      <c r="RA39" s="105">
        <f t="shared" si="2013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14"/>
        <v>617</v>
      </c>
      <c r="RI39" s="105">
        <f t="shared" si="2015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16"/>
        <v>607</v>
      </c>
      <c r="RQ39" s="105">
        <f t="shared" si="2017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18"/>
        <v>305</v>
      </c>
      <c r="RY39" s="105">
        <f t="shared" si="2019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20"/>
        <v>822</v>
      </c>
      <c r="SG39" s="105">
        <f t="shared" si="2021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22"/>
        <v>389</v>
      </c>
      <c r="SO39" s="105">
        <f t="shared" si="2023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24"/>
        <v>605</v>
      </c>
      <c r="SW39" s="105">
        <f t="shared" si="2025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26"/>
        <v>808</v>
      </c>
      <c r="TE39" s="105">
        <f t="shared" si="2027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28"/>
        <v>200</v>
      </c>
      <c r="TM39" s="105">
        <f t="shared" si="2029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30"/>
        <v>940</v>
      </c>
      <c r="TU39" s="105">
        <f t="shared" si="2031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32"/>
        <v>640</v>
      </c>
      <c r="UC39" s="105">
        <f t="shared" si="2033"/>
        <v>106.66666666666667</v>
      </c>
      <c r="UD39" s="106"/>
      <c r="UE39" s="107"/>
      <c r="UF39" s="107"/>
      <c r="UG39" s="107"/>
      <c r="UH39" s="107"/>
      <c r="UI39" s="107"/>
      <c r="UJ39" s="104">
        <f t="shared" si="2034"/>
        <v>0</v>
      </c>
      <c r="UK39" s="105">
        <f t="shared" si="2035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91"/>
        <v>402</v>
      </c>
      <c r="UT39" s="105">
        <f t="shared" si="2036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37"/>
        <v>400</v>
      </c>
      <c r="VB39" s="105">
        <f t="shared" si="2038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39"/>
        <v>399</v>
      </c>
      <c r="VJ39" s="105">
        <f t="shared" si="2040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41"/>
        <v>532</v>
      </c>
      <c r="VR39" s="68">
        <f t="shared" si="2042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43"/>
        <v>397</v>
      </c>
      <c r="VZ39" s="105">
        <f t="shared" si="2044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45"/>
        <v>588</v>
      </c>
      <c r="WH39" s="68">
        <f t="shared" si="2046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47"/>
        <v>200</v>
      </c>
      <c r="WP39" s="105">
        <f t="shared" si="2048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49"/>
        <v>800</v>
      </c>
      <c r="WY39" s="68">
        <f t="shared" si="2050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51"/>
        <v>308</v>
      </c>
      <c r="XH39" s="68">
        <f t="shared" si="2052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53"/>
        <v>200</v>
      </c>
      <c r="XQ39" s="68">
        <f t="shared" si="2054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55"/>
        <v>315</v>
      </c>
      <c r="XZ39" s="68">
        <f t="shared" si="2056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57"/>
        <v>420</v>
      </c>
      <c r="YI39" s="68">
        <f t="shared" si="2058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59"/>
        <v>505</v>
      </c>
      <c r="YR39" s="68">
        <f t="shared" si="2060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61"/>
        <v>600</v>
      </c>
      <c r="YZ39" s="68">
        <f t="shared" si="2062"/>
        <v>100</v>
      </c>
      <c r="ZA39" s="48"/>
      <c r="ZB39" s="49"/>
      <c r="ZC39" s="49"/>
      <c r="ZD39" s="49"/>
      <c r="ZE39" s="49"/>
      <c r="ZF39" s="49"/>
      <c r="ZG39" s="67">
        <f t="shared" si="2063"/>
        <v>0</v>
      </c>
      <c r="ZH39" s="68">
        <f t="shared" si="2064"/>
        <v>0</v>
      </c>
      <c r="ZI39" s="48">
        <v>400</v>
      </c>
      <c r="ZJ39" s="49"/>
      <c r="ZK39" s="49"/>
      <c r="ZL39" s="49"/>
      <c r="ZM39" s="49"/>
      <c r="ZN39" s="24"/>
      <c r="ZO39" s="67">
        <f t="shared" si="2065"/>
        <v>400</v>
      </c>
      <c r="ZP39" s="68">
        <f t="shared" si="2066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67"/>
        <v>400</v>
      </c>
      <c r="ZY39" s="70">
        <f t="shared" si="2068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69"/>
        <v>594</v>
      </c>
      <c r="AAH39" s="68">
        <f t="shared" si="2070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71"/>
        <v>879</v>
      </c>
      <c r="AAP39" s="68">
        <f t="shared" si="2072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73"/>
        <v>104</v>
      </c>
      <c r="AAX39" s="68">
        <f t="shared" si="2074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75"/>
        <v>607</v>
      </c>
      <c r="ABF39" s="68">
        <f t="shared" si="2076"/>
        <v>101.16666666666667</v>
      </c>
      <c r="ABG39" s="48"/>
      <c r="ABH39" s="49"/>
      <c r="ABI39" s="49"/>
      <c r="ABJ39" s="49"/>
      <c r="ABK39" s="49"/>
      <c r="ABL39" s="49"/>
      <c r="ABM39" s="67">
        <f t="shared" si="2077"/>
        <v>0</v>
      </c>
      <c r="ABN39" s="68">
        <f t="shared" si="2078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79"/>
        <v>594</v>
      </c>
      <c r="ABV39" s="68">
        <f t="shared" si="2080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81"/>
        <v>403</v>
      </c>
      <c r="ACD39" s="68">
        <f t="shared" si="2082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83"/>
        <v>781</v>
      </c>
      <c r="ACL39" s="68">
        <f t="shared" si="2084"/>
        <v>130.16666666666666</v>
      </c>
      <c r="ACM39" s="48"/>
      <c r="ACN39" s="49"/>
      <c r="ACO39" s="49"/>
      <c r="ACP39" s="49"/>
      <c r="ACQ39" s="49"/>
      <c r="ACR39" s="49"/>
      <c r="ACS39" s="67">
        <f t="shared" si="2085"/>
        <v>0</v>
      </c>
      <c r="ACT39" s="68">
        <f t="shared" si="2086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87"/>
        <v>218</v>
      </c>
      <c r="ADB39" s="68">
        <f t="shared" si="2088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89"/>
        <v>439</v>
      </c>
      <c r="ADJ39" s="68">
        <f t="shared" si="2090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91"/>
        <v>417</v>
      </c>
      <c r="ADR39" s="68">
        <f t="shared" si="2092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93"/>
        <v>100</v>
      </c>
      <c r="ADZ39" s="68">
        <f t="shared" si="2094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95"/>
        <v>912</v>
      </c>
      <c r="AEH39" s="68">
        <f t="shared" si="2096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97"/>
        <v>199</v>
      </c>
      <c r="AEP39" s="68">
        <f t="shared" si="2098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99"/>
        <v>404</v>
      </c>
      <c r="AEX39" s="68">
        <f t="shared" si="2100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101"/>
        <v>198</v>
      </c>
      <c r="AFF39" s="68">
        <f t="shared" si="2102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103"/>
        <v>702</v>
      </c>
      <c r="AFN39" s="68">
        <f t="shared" si="2104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105"/>
        <v>220</v>
      </c>
      <c r="AFV39" s="68">
        <f t="shared" si="2106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107"/>
        <v>442</v>
      </c>
      <c r="AGD39" s="68">
        <f t="shared" si="2108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109"/>
        <v>438</v>
      </c>
      <c r="AGL39" s="68">
        <f t="shared" si="2110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111"/>
        <v>330</v>
      </c>
      <c r="AGU39" s="68">
        <f t="shared" si="2112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13"/>
        <v>440</v>
      </c>
      <c r="AHC39" s="68">
        <f t="shared" si="2114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15"/>
        <v>218</v>
      </c>
      <c r="AHK39" s="68">
        <f t="shared" si="2116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17"/>
        <v>342</v>
      </c>
      <c r="AHS39" s="68">
        <f t="shared" si="2118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19"/>
        <v>453</v>
      </c>
      <c r="AIA39" s="68">
        <f t="shared" si="2120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21"/>
        <v>220</v>
      </c>
      <c r="AII39" s="68">
        <f t="shared" si="2122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23"/>
        <v>330</v>
      </c>
      <c r="AIQ39" s="68">
        <f t="shared" si="2124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25"/>
        <v>219</v>
      </c>
      <c r="AIY39" s="68">
        <f t="shared" si="2126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27"/>
        <v>600</v>
      </c>
      <c r="AJG39" s="68">
        <f t="shared" si="2128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29"/>
        <v>551</v>
      </c>
      <c r="AJO39" s="43">
        <f t="shared" si="2130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31"/>
        <v>399</v>
      </c>
      <c r="AJW39" s="43">
        <f t="shared" si="2132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33"/>
        <v>250</v>
      </c>
      <c r="AKE39" s="68">
        <f t="shared" si="2134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35"/>
        <v>332</v>
      </c>
      <c r="AKM39" s="184">
        <f t="shared" si="2136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37"/>
        <v>220</v>
      </c>
      <c r="AKU39" s="184">
        <f t="shared" si="2138"/>
        <v>36.666666666666664</v>
      </c>
      <c r="AKV39" s="48"/>
      <c r="AKW39" s="49"/>
      <c r="AKX39" s="49"/>
      <c r="AKY39" s="49"/>
      <c r="AKZ39" s="49"/>
      <c r="ALA39" s="49"/>
      <c r="ALB39" s="67">
        <f t="shared" si="2139"/>
        <v>0</v>
      </c>
      <c r="ALC39" s="68">
        <f t="shared" si="2140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41"/>
        <v>443</v>
      </c>
      <c r="ALK39" s="68">
        <f t="shared" si="2142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43"/>
        <v>450</v>
      </c>
      <c r="ALS39" s="68">
        <f t="shared" si="2144"/>
        <v>75</v>
      </c>
      <c r="ALT39" s="48"/>
      <c r="ALU39" s="49"/>
      <c r="ALV39" s="49"/>
      <c r="ALW39" s="49"/>
      <c r="ALX39" s="49"/>
      <c r="ALY39" s="49"/>
      <c r="ALZ39" s="67">
        <f t="shared" si="2145"/>
        <v>0</v>
      </c>
      <c r="AMA39" s="68">
        <f t="shared" si="2146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47"/>
        <v>510</v>
      </c>
      <c r="AMI39" s="68">
        <f t="shared" si="2148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49"/>
        <v>110</v>
      </c>
      <c r="AMQ39" s="68">
        <f t="shared" si="2150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51"/>
        <v>353</v>
      </c>
      <c r="AMY39" s="68">
        <f t="shared" si="2152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53"/>
        <v>438</v>
      </c>
      <c r="ANG39" s="68">
        <f t="shared" si="2154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55"/>
        <v>448</v>
      </c>
      <c r="ANO39" s="68">
        <f t="shared" si="2156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57"/>
        <v>107</v>
      </c>
      <c r="ANW39" s="68">
        <f t="shared" si="2158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59"/>
        <v>331</v>
      </c>
      <c r="AOE39" s="68">
        <f t="shared" si="2160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61"/>
        <v>110</v>
      </c>
      <c r="AOM39" s="68">
        <f t="shared" si="2162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63"/>
        <v>419</v>
      </c>
      <c r="AOU39" s="68">
        <f t="shared" si="2164"/>
        <v>69.833333333333329</v>
      </c>
      <c r="AOV39" s="48"/>
      <c r="AOW39" s="49"/>
      <c r="AOX39" s="49"/>
      <c r="AOY39" s="49"/>
      <c r="AOZ39" s="49"/>
      <c r="APA39" s="49"/>
      <c r="APB39" s="67">
        <f t="shared" si="2165"/>
        <v>0</v>
      </c>
      <c r="APC39" s="68">
        <f t="shared" si="2166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67"/>
        <v>220</v>
      </c>
      <c r="APK39" s="68">
        <f t="shared" si="2168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69"/>
        <v>325</v>
      </c>
      <c r="APS39" s="68">
        <f t="shared" si="2170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71"/>
        <v>662</v>
      </c>
      <c r="AQA39" s="68">
        <f t="shared" si="2172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73"/>
        <v>110</v>
      </c>
      <c r="AQI39" s="68">
        <f t="shared" si="2174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75"/>
        <v>427</v>
      </c>
      <c r="AQQ39" s="68">
        <f t="shared" si="2176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77"/>
        <v>439</v>
      </c>
      <c r="AQY39" s="68">
        <f t="shared" si="2178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79"/>
        <v>602</v>
      </c>
      <c r="ARG39" s="68">
        <f t="shared" si="2180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81"/>
        <v>547</v>
      </c>
      <c r="ARO39" s="68">
        <f t="shared" si="2182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83"/>
        <v>494</v>
      </c>
      <c r="ARW39" s="68">
        <f t="shared" si="2184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85"/>
        <v>462</v>
      </c>
      <c r="ASE39" s="68">
        <f t="shared" si="2186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87"/>
        <v>745</v>
      </c>
      <c r="ASM39" s="68">
        <f t="shared" si="2188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89"/>
        <v>436</v>
      </c>
      <c r="ASU39" s="68">
        <f t="shared" si="2190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91"/>
        <v>482</v>
      </c>
      <c r="ATC39" s="68">
        <f t="shared" si="2192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93"/>
        <v>107</v>
      </c>
      <c r="ATK39" s="68">
        <f t="shared" si="2194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95"/>
        <v>196</v>
      </c>
      <c r="ATS39" s="68">
        <f t="shared" si="2196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97"/>
        <v>220</v>
      </c>
      <c r="AUA39" s="68">
        <f t="shared" si="2198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99"/>
        <v>439</v>
      </c>
      <c r="AUI39" s="68">
        <f t="shared" si="2200"/>
        <v>73.166666666666671</v>
      </c>
      <c r="AUJ39" s="48"/>
      <c r="AUK39" s="49"/>
      <c r="AUL39" s="49"/>
      <c r="AUM39" s="49"/>
      <c r="AUN39" s="49"/>
      <c r="AUO39" s="49"/>
      <c r="AUP39" s="67">
        <f t="shared" si="2201"/>
        <v>0</v>
      </c>
      <c r="AUQ39" s="68">
        <f t="shared" si="2202"/>
        <v>0</v>
      </c>
      <c r="AUR39" s="48"/>
      <c r="AUS39" s="49"/>
      <c r="AUT39" s="49"/>
      <c r="AUU39" s="49"/>
      <c r="AUV39" s="49"/>
      <c r="AUW39" s="49"/>
      <c r="AUX39" s="67">
        <f t="shared" si="2203"/>
        <v>0</v>
      </c>
      <c r="AUY39" s="68">
        <f t="shared" si="2204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205"/>
        <v>439</v>
      </c>
      <c r="AVG39" s="68">
        <f t="shared" si="2206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207"/>
        <v>111</v>
      </c>
      <c r="AVO39" s="68">
        <f t="shared" si="2208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209"/>
        <v>109</v>
      </c>
      <c r="AVW39" s="68">
        <f t="shared" si="2210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211"/>
        <v>110</v>
      </c>
      <c r="AWE39" s="68">
        <f t="shared" si="2212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13"/>
        <v>110</v>
      </c>
      <c r="AWM39" s="184">
        <f t="shared" si="2214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15"/>
        <v>327</v>
      </c>
      <c r="AWU39" s="43">
        <f t="shared" si="2216"/>
        <v>54.5</v>
      </c>
      <c r="AWV39" s="48"/>
      <c r="AWW39" s="49"/>
      <c r="AWX39" s="49"/>
      <c r="AWY39" s="49"/>
      <c r="AWZ39" s="49"/>
      <c r="AXA39" s="49"/>
      <c r="AXB39" s="42">
        <f t="shared" si="2217"/>
        <v>0</v>
      </c>
      <c r="AXC39" s="43">
        <f t="shared" si="2218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19"/>
        <v>112</v>
      </c>
      <c r="AXK39" s="43">
        <f t="shared" si="2220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21"/>
        <v>220</v>
      </c>
      <c r="AXS39" s="43">
        <f t="shared" si="2222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23"/>
        <v>102</v>
      </c>
      <c r="AYA39" s="43">
        <f t="shared" si="2224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25"/>
        <v>210</v>
      </c>
      <c r="AYI39" s="43">
        <f t="shared" si="2226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27"/>
        <v>138</v>
      </c>
      <c r="AYQ39" s="43">
        <f t="shared" si="2228"/>
        <v>23</v>
      </c>
      <c r="AYR39" s="48"/>
      <c r="AYS39" s="49"/>
      <c r="AYT39" s="49"/>
      <c r="AYU39" s="49"/>
      <c r="AYV39" s="49"/>
      <c r="AYW39" s="49"/>
      <c r="AYX39" s="42">
        <f t="shared" si="2229"/>
        <v>0</v>
      </c>
      <c r="AYY39" s="43">
        <f t="shared" si="2230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31"/>
        <v>219</v>
      </c>
      <c r="AZG39" s="43">
        <f t="shared" si="2232"/>
        <v>36.5</v>
      </c>
      <c r="AZH39" s="48"/>
      <c r="AZI39" s="49"/>
      <c r="AZJ39" s="49"/>
      <c r="AZK39" s="49"/>
      <c r="AZL39" s="49"/>
      <c r="AZM39" s="49"/>
      <c r="AZN39" s="42">
        <f t="shared" si="2233"/>
        <v>0</v>
      </c>
      <c r="AZO39" s="43">
        <f t="shared" si="2234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35"/>
        <v>110</v>
      </c>
      <c r="AZW39" s="43">
        <f t="shared" si="2236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37"/>
        <v>230</v>
      </c>
      <c r="BAE39" s="43">
        <f t="shared" si="2238"/>
        <v>38.333333333333336</v>
      </c>
      <c r="BAF39" s="48"/>
      <c r="BAG39" s="49"/>
      <c r="BAH39" s="49"/>
      <c r="BAI39" s="49"/>
      <c r="BAJ39" s="49"/>
      <c r="BAK39" s="49"/>
      <c r="BAL39" s="42">
        <f t="shared" si="2239"/>
        <v>0</v>
      </c>
      <c r="BAM39" s="43">
        <f t="shared" si="2240"/>
        <v>0</v>
      </c>
      <c r="BAN39" s="48"/>
      <c r="BAO39" s="49"/>
      <c r="BAP39" s="49"/>
      <c r="BAQ39" s="49"/>
      <c r="BAR39" s="49"/>
      <c r="BAS39" s="49"/>
      <c r="BAT39" s="42">
        <f t="shared" si="2241"/>
        <v>0</v>
      </c>
      <c r="BAU39" s="43">
        <f t="shared" si="2242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43"/>
        <v>265</v>
      </c>
      <c r="BBC39" s="43">
        <f t="shared" si="2244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45"/>
        <v>110</v>
      </c>
      <c r="BBK39" s="43">
        <f t="shared" si="2246"/>
        <v>18.333333333333332</v>
      </c>
      <c r="BBL39" s="48"/>
      <c r="BBM39" s="49"/>
      <c r="BBN39" s="49"/>
      <c r="BBO39" s="49"/>
      <c r="BBP39" s="49"/>
      <c r="BBQ39" s="49"/>
      <c r="BBR39" s="42">
        <f t="shared" si="2247"/>
        <v>0</v>
      </c>
      <c r="BBS39" s="43">
        <f t="shared" si="2248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49"/>
        <v>214</v>
      </c>
      <c r="BCA39" s="43">
        <f t="shared" si="2250"/>
        <v>35.666666666666664</v>
      </c>
      <c r="BCB39" s="48"/>
      <c r="BCC39" s="49"/>
      <c r="BCD39" s="49"/>
      <c r="BCE39" s="49"/>
      <c r="BCF39" s="49"/>
      <c r="BCG39" s="49"/>
      <c r="BCH39" s="42">
        <f t="shared" si="2251"/>
        <v>0</v>
      </c>
      <c r="BCI39" s="43">
        <f t="shared" si="2252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53"/>
        <v>110</v>
      </c>
      <c r="BCQ39" s="43">
        <f t="shared" si="2254"/>
        <v>18.333333333333332</v>
      </c>
      <c r="BCR39" s="48"/>
      <c r="BCS39" s="49"/>
      <c r="BCT39" s="49"/>
      <c r="BCU39" s="49"/>
      <c r="BCV39" s="49"/>
      <c r="BCW39" s="49"/>
      <c r="BCX39" s="42">
        <f t="shared" si="2255"/>
        <v>0</v>
      </c>
      <c r="BCY39" s="43">
        <f t="shared" si="2256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57"/>
        <v>120</v>
      </c>
      <c r="BDG39" s="43">
        <f t="shared" si="2258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59"/>
        <v>110</v>
      </c>
      <c r="BDO39" s="43">
        <f t="shared" si="2260"/>
        <v>18.333333333333332</v>
      </c>
      <c r="BDP39" s="48"/>
      <c r="BDQ39" s="49"/>
      <c r="BDR39" s="49"/>
      <c r="BDS39" s="49"/>
      <c r="BDT39" s="49"/>
      <c r="BDU39" s="49"/>
      <c r="BDV39" s="42">
        <f t="shared" si="2261"/>
        <v>0</v>
      </c>
      <c r="BDW39" s="43">
        <f t="shared" si="2262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63"/>
        <v>217</v>
      </c>
      <c r="BEE39" s="43">
        <f t="shared" si="2264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65"/>
        <v>100</v>
      </c>
      <c r="BEM39" s="43">
        <f t="shared" si="2266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67"/>
        <v>106</v>
      </c>
      <c r="BEU39" s="43">
        <f t="shared" si="2268"/>
        <v>17.666666666666668</v>
      </c>
      <c r="BEV39" s="82"/>
      <c r="BEW39" s="83"/>
      <c r="BEX39" s="83"/>
      <c r="BEY39" s="83"/>
      <c r="BEZ39" s="83"/>
      <c r="BFA39" s="83"/>
      <c r="BFB39" s="42">
        <f t="shared" si="2269"/>
        <v>0</v>
      </c>
      <c r="BFC39" s="43">
        <f t="shared" si="2270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71"/>
        <v>110</v>
      </c>
      <c r="BFK39" s="43">
        <f t="shared" si="2272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73"/>
        <v>202</v>
      </c>
      <c r="BFS39" s="43">
        <f t="shared" si="2274"/>
        <v>33.666666666666664</v>
      </c>
      <c r="BFT39" s="48"/>
      <c r="BFU39" s="49"/>
      <c r="BFV39" s="49"/>
      <c r="BFW39" s="49"/>
      <c r="BFX39" s="49"/>
      <c r="BFY39" s="49"/>
      <c r="BFZ39" s="42">
        <f t="shared" si="2275"/>
        <v>0</v>
      </c>
      <c r="BGA39" s="43">
        <f t="shared" si="2276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77"/>
        <v>218</v>
      </c>
      <c r="BGI39" s="43">
        <f t="shared" si="2278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79"/>
        <v>108</v>
      </c>
      <c r="BGQ39" s="43">
        <f t="shared" si="2280"/>
        <v>18</v>
      </c>
      <c r="BGR39" s="48"/>
      <c r="BGS39" s="49"/>
      <c r="BGT39" s="49"/>
      <c r="BGU39" s="49"/>
      <c r="BGV39" s="49"/>
      <c r="BGW39" s="49"/>
      <c r="BGX39" s="42">
        <f t="shared" si="2281"/>
        <v>0</v>
      </c>
      <c r="BGY39" s="43">
        <f t="shared" si="2282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83"/>
        <v>219</v>
      </c>
      <c r="BHG39" s="43">
        <f t="shared" si="2284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85"/>
        <v>110</v>
      </c>
      <c r="BHO39" s="43">
        <f t="shared" si="2286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87"/>
        <v>220</v>
      </c>
      <c r="BHW39" s="43">
        <f t="shared" si="2288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89"/>
        <v>119</v>
      </c>
      <c r="BIE39" s="43">
        <f t="shared" si="2290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91"/>
        <v>98</v>
      </c>
      <c r="BIM39" s="43">
        <f t="shared" si="2292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93"/>
        <v>208</v>
      </c>
      <c r="BIU39" s="101">
        <f t="shared" si="2294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95"/>
        <v>219</v>
      </c>
      <c r="BJC39" s="101">
        <f t="shared" si="2296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97"/>
        <v>220</v>
      </c>
      <c r="BJK39" s="43">
        <f t="shared" si="2298"/>
        <v>36.666666666666664</v>
      </c>
      <c r="BJL39" s="48"/>
      <c r="BJM39" s="49"/>
      <c r="BJN39" s="49"/>
      <c r="BJO39" s="49"/>
      <c r="BJP39" s="49"/>
      <c r="BJQ39" s="49"/>
      <c r="BJR39" s="42">
        <f t="shared" si="2299"/>
        <v>0</v>
      </c>
      <c r="BJS39" s="43">
        <f t="shared" si="2300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301"/>
        <v>110</v>
      </c>
      <c r="BKA39" s="43">
        <f t="shared" si="2302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303"/>
        <v>110</v>
      </c>
      <c r="BKI39" s="68">
        <f t="shared" si="2304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305"/>
        <v>110</v>
      </c>
      <c r="BKQ39" s="43">
        <f t="shared" si="2306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307"/>
        <v>220</v>
      </c>
      <c r="BKY39" s="43">
        <f t="shared" si="2308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309"/>
        <v>110</v>
      </c>
      <c r="BLG39" s="43">
        <f t="shared" si="2310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311"/>
        <v>220</v>
      </c>
      <c r="BLO39" s="43">
        <f t="shared" si="2312"/>
        <v>36.666666666666664</v>
      </c>
      <c r="BLP39" s="48"/>
      <c r="BLQ39" s="49"/>
      <c r="BLR39" s="49"/>
      <c r="BLS39" s="49"/>
      <c r="BLT39" s="49"/>
      <c r="BLU39" s="49"/>
      <c r="BLV39" s="42">
        <f t="shared" si="2313"/>
        <v>0</v>
      </c>
      <c r="BLW39" s="43">
        <f t="shared" si="2314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15"/>
        <v>420</v>
      </c>
      <c r="BME39" s="43">
        <f t="shared" si="2316"/>
        <v>70</v>
      </c>
      <c r="BMF39" s="48"/>
      <c r="BMG39" s="49"/>
      <c r="BMH39" s="49"/>
      <c r="BMI39" s="49"/>
      <c r="BMJ39" s="49"/>
      <c r="BMK39" s="49"/>
      <c r="BML39" s="42">
        <f t="shared" si="2317"/>
        <v>0</v>
      </c>
      <c r="BMM39" s="43">
        <f t="shared" si="2318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19"/>
        <v>108</v>
      </c>
      <c r="BMU39" s="43">
        <f t="shared" si="2320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21"/>
        <v>392</v>
      </c>
      <c r="BNC39" s="43">
        <f t="shared" si="2322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23"/>
        <v>110</v>
      </c>
      <c r="BNK39" s="43">
        <f t="shared" si="2324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25"/>
        <v>110</v>
      </c>
      <c r="BNS39" s="43">
        <f t="shared" si="2326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27"/>
        <v>106</v>
      </c>
      <c r="BOA39" s="43">
        <f t="shared" si="2328"/>
        <v>17.666666666666668</v>
      </c>
      <c r="BOB39" s="48"/>
      <c r="BOC39" s="49"/>
      <c r="BOD39" s="49"/>
      <c r="BOE39" s="49"/>
      <c r="BOF39" s="49"/>
      <c r="BOG39" s="49"/>
      <c r="BOH39" s="42">
        <f t="shared" si="2329"/>
        <v>0</v>
      </c>
      <c r="BOI39" s="43">
        <f t="shared" si="2330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31"/>
        <v>120</v>
      </c>
      <c r="BOQ39" s="43">
        <f t="shared" si="2332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33"/>
        <v>111</v>
      </c>
      <c r="BOY39" s="43">
        <f t="shared" si="2334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35"/>
        <v>80</v>
      </c>
      <c r="BPG39" s="43">
        <f t="shared" si="2336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37"/>
        <v>124</v>
      </c>
      <c r="BPO39" s="43">
        <f t="shared" si="2338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39"/>
        <v>220</v>
      </c>
      <c r="BPW39" s="43">
        <f t="shared" si="2340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41"/>
        <v>160</v>
      </c>
      <c r="BQE39" s="43">
        <f t="shared" si="2342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43"/>
        <v>333</v>
      </c>
      <c r="BQM39" s="43">
        <f t="shared" si="2344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45"/>
        <v>110</v>
      </c>
      <c r="BQU39" s="43">
        <f t="shared" si="2346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47"/>
        <v>222</v>
      </c>
      <c r="BRC39" s="43">
        <f t="shared" si="2348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49"/>
        <v>110</v>
      </c>
      <c r="BRK39" s="43">
        <f t="shared" si="2350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51"/>
        <v>298</v>
      </c>
      <c r="BRS39" s="68">
        <f t="shared" si="2352"/>
        <v>49.666666666666664</v>
      </c>
      <c r="BRT39" s="63"/>
      <c r="BRU39" s="64"/>
      <c r="BRV39" s="64"/>
      <c r="BRW39" s="64"/>
      <c r="BRX39" s="64"/>
      <c r="BRY39" s="64"/>
      <c r="BRZ39" s="67">
        <f t="shared" si="2353"/>
        <v>0</v>
      </c>
      <c r="BSA39" s="43">
        <f t="shared" si="2354"/>
        <v>0</v>
      </c>
      <c r="BSB39" s="48"/>
      <c r="BSC39" s="49"/>
      <c r="BSD39" s="49"/>
      <c r="BSE39" s="49"/>
      <c r="BSF39" s="49"/>
      <c r="BSG39" s="49"/>
      <c r="BSH39" s="67">
        <f t="shared" si="2355"/>
        <v>0</v>
      </c>
      <c r="BSI39" s="43">
        <f t="shared" si="2356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57"/>
        <v>341</v>
      </c>
      <c r="BSQ39" s="43">
        <f t="shared" si="2358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59"/>
        <v>111</v>
      </c>
      <c r="BSY39" s="43">
        <f t="shared" si="2360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61"/>
        <v>330</v>
      </c>
      <c r="BTG39" s="43">
        <f t="shared" si="2362"/>
        <v>55</v>
      </c>
      <c r="BTH39" s="48"/>
      <c r="BTI39" s="49"/>
      <c r="BTJ39" s="49"/>
      <c r="BTK39" s="49"/>
      <c r="BTL39" s="49"/>
      <c r="BTM39" s="49"/>
      <c r="BTN39" s="67">
        <f t="shared" si="2363"/>
        <v>0</v>
      </c>
      <c r="BTO39" s="68">
        <f t="shared" si="2364"/>
        <v>0</v>
      </c>
      <c r="BTP39" s="48"/>
      <c r="BTQ39" s="49"/>
      <c r="BTR39" s="49"/>
      <c r="BTS39" s="49"/>
      <c r="BTT39" s="49"/>
      <c r="BTU39" s="49"/>
      <c r="BTV39" s="67">
        <f t="shared" si="2365"/>
        <v>0</v>
      </c>
      <c r="BTW39" s="43">
        <f t="shared" si="2366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67"/>
        <v>375</v>
      </c>
      <c r="BUE39" s="68">
        <f t="shared" si="2368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69"/>
        <v>218</v>
      </c>
      <c r="BUM39" s="68">
        <f t="shared" si="2370"/>
        <v>36.333333333333336</v>
      </c>
      <c r="BUN39" s="48"/>
      <c r="BUO39" s="49"/>
      <c r="BUP39" s="49"/>
      <c r="BUQ39" s="49"/>
      <c r="BUR39" s="49"/>
      <c r="BUS39" s="49"/>
      <c r="BUT39" s="67">
        <f t="shared" si="2371"/>
        <v>0</v>
      </c>
      <c r="BUU39" s="68">
        <f t="shared" si="2372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73"/>
        <v>232</v>
      </c>
      <c r="BVC39" s="68">
        <f t="shared" si="2374"/>
        <v>38.666666666666664</v>
      </c>
      <c r="BVD39" s="48"/>
      <c r="BVE39" s="49"/>
      <c r="BVF39" s="49"/>
      <c r="BVG39" s="49"/>
      <c r="BVH39" s="49"/>
      <c r="BVI39" s="49"/>
      <c r="BVJ39" s="67">
        <f t="shared" si="2375"/>
        <v>0</v>
      </c>
      <c r="BVK39" s="68">
        <f t="shared" si="2376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77"/>
        <v>201</v>
      </c>
      <c r="BVS39" s="68">
        <f t="shared" si="2378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79"/>
        <v>219</v>
      </c>
      <c r="BWA39" s="68">
        <f t="shared" si="2380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81"/>
        <v>219</v>
      </c>
      <c r="BWI39" s="68">
        <f t="shared" si="2382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83"/>
        <v>328</v>
      </c>
      <c r="BWQ39" s="68">
        <f t="shared" si="2384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85"/>
        <v>549</v>
      </c>
      <c r="BWY39" s="68">
        <f t="shared" si="2386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87"/>
        <v>149</v>
      </c>
      <c r="BXG39" s="68">
        <f t="shared" si="2388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89"/>
        <v>439</v>
      </c>
      <c r="BXO39" s="68">
        <f t="shared" si="2390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91"/>
        <v>220</v>
      </c>
      <c r="BXW39" s="68">
        <f t="shared" si="1596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92"/>
        <v>303</v>
      </c>
      <c r="BYE39" s="68">
        <f t="shared" si="2393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94"/>
        <v>310</v>
      </c>
      <c r="BYM39" s="68">
        <f t="shared" si="2395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96"/>
        <v>725</v>
      </c>
      <c r="BYU39" s="68">
        <f t="shared" si="2397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98"/>
        <v>634</v>
      </c>
      <c r="BZC39" s="68">
        <f t="shared" si="2399"/>
        <v>105.66666666666667</v>
      </c>
      <c r="BZD39" s="48"/>
      <c r="BZE39" s="49"/>
      <c r="BZF39" s="49"/>
      <c r="BZG39" s="49"/>
      <c r="BZH39" s="49"/>
      <c r="BZI39" s="49"/>
      <c r="BZJ39" s="67">
        <f t="shared" si="2400"/>
        <v>0</v>
      </c>
      <c r="BZK39" s="68">
        <f t="shared" si="2401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402"/>
        <v>438</v>
      </c>
      <c r="BZS39" s="68">
        <f t="shared" si="2403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404"/>
        <v>223</v>
      </c>
      <c r="CAA39" s="68">
        <f t="shared" si="2405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406"/>
        <v>298</v>
      </c>
      <c r="CAI39" s="68">
        <f t="shared" si="2407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408"/>
        <v>390</v>
      </c>
      <c r="CAQ39" s="68">
        <f t="shared" si="2409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410"/>
        <v>549</v>
      </c>
      <c r="CAY39" s="68">
        <f t="shared" si="2411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12"/>
        <v>110</v>
      </c>
      <c r="CBG39" s="68">
        <f t="shared" si="2413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14"/>
        <v>572</v>
      </c>
      <c r="CBO39" s="68">
        <f t="shared" si="2415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16"/>
        <v>330</v>
      </c>
      <c r="CBW39" s="68">
        <f t="shared" si="2417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18"/>
        <v>330</v>
      </c>
      <c r="CCE39" s="68">
        <f t="shared" si="2419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20"/>
        <v>218</v>
      </c>
      <c r="CCM39" s="68">
        <f t="shared" si="2421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22"/>
        <v>117</v>
      </c>
      <c r="CCU39" s="68">
        <f t="shared" si="2423"/>
        <v>19.5</v>
      </c>
      <c r="CCV39" s="48"/>
      <c r="CCW39" s="49"/>
      <c r="CCX39" s="49"/>
      <c r="CCY39" s="49"/>
      <c r="CCZ39" s="49"/>
      <c r="CDA39" s="49"/>
      <c r="CDB39" s="67">
        <f t="shared" si="1641"/>
        <v>0</v>
      </c>
      <c r="CDC39" s="68">
        <f t="shared" si="1642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43"/>
        <v>312</v>
      </c>
      <c r="CDK39" s="68">
        <f t="shared" si="1644"/>
        <v>52</v>
      </c>
      <c r="CDL39" s="48"/>
      <c r="CDM39" s="49"/>
      <c r="CDN39" s="49"/>
      <c r="CDO39" s="49"/>
      <c r="CDP39" s="49"/>
      <c r="CDQ39" s="49"/>
      <c r="CDR39" s="67">
        <f t="shared" si="1645"/>
        <v>0</v>
      </c>
      <c r="CDS39" s="68">
        <f t="shared" si="1646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47"/>
        <v>39</v>
      </c>
      <c r="CEA39" s="68">
        <f t="shared" si="1648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49"/>
        <v>40</v>
      </c>
      <c r="CEI39" s="68">
        <f t="shared" si="1650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51"/>
        <v>210</v>
      </c>
      <c r="CEQ39" s="68">
        <f t="shared" si="1652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53"/>
        <v>203</v>
      </c>
      <c r="CEY39" s="68">
        <f t="shared" si="1654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55"/>
        <v>265</v>
      </c>
      <c r="CFG39" s="68">
        <f t="shared" si="1656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57"/>
        <v>220</v>
      </c>
      <c r="CFO39" s="68">
        <f t="shared" si="1658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59"/>
        <v>310</v>
      </c>
      <c r="CFW39" s="68">
        <f t="shared" si="1660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61"/>
        <v>343</v>
      </c>
      <c r="CGE39" s="68">
        <f t="shared" si="1662"/>
        <v>57.166666666666664</v>
      </c>
      <c r="CGF39" s="48"/>
      <c r="CGG39" s="49"/>
      <c r="CGH39" s="49"/>
      <c r="CGI39" s="49"/>
      <c r="CGJ39" s="49"/>
      <c r="CGK39" s="49"/>
      <c r="CGL39" s="67">
        <f t="shared" si="1663"/>
        <v>0</v>
      </c>
      <c r="CGM39" s="68">
        <f t="shared" si="1664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65"/>
        <v>109</v>
      </c>
      <c r="CGU39" s="68">
        <f t="shared" si="1666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67"/>
        <v>626</v>
      </c>
      <c r="CHC39" s="68">
        <f t="shared" si="1668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69"/>
        <v>220</v>
      </c>
      <c r="CHK39" s="68">
        <f t="shared" si="1670"/>
        <v>36.666666666666664</v>
      </c>
      <c r="CHL39" s="48"/>
      <c r="CHM39" s="49"/>
      <c r="CHN39" s="49"/>
      <c r="CHO39" s="49"/>
      <c r="CHP39" s="49"/>
      <c r="CHQ39" s="49"/>
      <c r="CHR39" s="67">
        <f t="shared" si="1671"/>
        <v>0</v>
      </c>
      <c r="CHS39" s="68">
        <f t="shared" si="1672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73"/>
        <v>310</v>
      </c>
      <c r="CIA39" s="68">
        <f t="shared" si="1674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75"/>
        <v>328</v>
      </c>
      <c r="CII39" s="68">
        <f t="shared" si="1676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77"/>
        <v>109</v>
      </c>
      <c r="CIQ39" s="68">
        <f t="shared" si="1678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79"/>
        <v>289</v>
      </c>
      <c r="CIY39" s="68">
        <f t="shared" si="1680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81"/>
        <v>226</v>
      </c>
      <c r="CJG39" s="68">
        <f t="shared" si="1682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83"/>
        <v>201</v>
      </c>
      <c r="CJO39" s="184">
        <f t="shared" si="1684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85"/>
        <v>229</v>
      </c>
      <c r="CJW39" s="68">
        <f t="shared" si="1686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24"/>
        <v>219</v>
      </c>
      <c r="CKE39" s="68">
        <f t="shared" si="1687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88"/>
        <v>230</v>
      </c>
      <c r="CKM39" s="68">
        <f t="shared" si="1689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90"/>
        <v>220</v>
      </c>
      <c r="CKU39" s="68">
        <f t="shared" si="1691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92"/>
        <v>329</v>
      </c>
      <c r="CLC39" s="68">
        <f t="shared" si="1693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94"/>
        <v>109</v>
      </c>
      <c r="CLK39" s="68">
        <f t="shared" si="1695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96"/>
        <v>120</v>
      </c>
      <c r="CLS39" s="68">
        <f t="shared" si="1697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98"/>
        <v>220</v>
      </c>
      <c r="CMA39" s="68">
        <f t="shared" si="1699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700"/>
        <v>365</v>
      </c>
      <c r="CMI39" s="68">
        <f t="shared" si="1701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702"/>
        <v>434</v>
      </c>
      <c r="CMQ39" s="68">
        <f t="shared" si="1703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704"/>
        <v>97</v>
      </c>
      <c r="CMY39" s="68">
        <f t="shared" si="1705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706"/>
        <v>329</v>
      </c>
      <c r="CNG39" s="68">
        <f t="shared" si="1707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708"/>
        <v>877</v>
      </c>
      <c r="CNO39" s="68">
        <f t="shared" si="1709"/>
        <v>146.16666666666666</v>
      </c>
      <c r="CNP39" s="48"/>
      <c r="CNQ39" s="49"/>
      <c r="CNR39" s="49"/>
      <c r="CNS39" s="49"/>
      <c r="CNT39" s="49"/>
      <c r="CNU39" s="49"/>
      <c r="CNV39" s="67">
        <f t="shared" si="1710"/>
        <v>0</v>
      </c>
      <c r="CNW39" s="68">
        <f t="shared" si="1711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12"/>
        <v>244</v>
      </c>
      <c r="COE39" s="68">
        <f t="shared" si="1713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14"/>
        <v>658</v>
      </c>
      <c r="COM39" s="68">
        <f t="shared" si="1715"/>
        <v>109.66666666666667</v>
      </c>
      <c r="CON39" s="48"/>
      <c r="COO39" s="49"/>
      <c r="COP39" s="49"/>
      <c r="COQ39" s="49"/>
      <c r="COR39" s="49"/>
      <c r="COS39" s="49"/>
      <c r="COT39" s="67">
        <f t="shared" si="1716"/>
        <v>0</v>
      </c>
      <c r="COU39" s="68">
        <f t="shared" si="1717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18"/>
        <v>110</v>
      </c>
      <c r="CPC39" s="68">
        <f t="shared" si="1719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20"/>
        <v>11</v>
      </c>
      <c r="CPK39" s="68">
        <f t="shared" si="1721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22"/>
        <v>108</v>
      </c>
      <c r="CPS39" s="68">
        <f t="shared" si="1723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24"/>
        <v>414</v>
      </c>
      <c r="CQA39" s="68">
        <f t="shared" si="1725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26"/>
        <v>189</v>
      </c>
      <c r="CQI39" s="68">
        <f t="shared" si="1727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28"/>
        <v>0</v>
      </c>
      <c r="CQQ39" s="68">
        <f t="shared" si="1729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30"/>
        <v>0</v>
      </c>
      <c r="CQY39" s="68">
        <f t="shared" si="1731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32"/>
        <v>411</v>
      </c>
      <c r="CRG39" s="68">
        <f t="shared" si="1733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34"/>
        <v>0</v>
      </c>
      <c r="CRO39" s="68">
        <f t="shared" si="1735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36"/>
        <v>248</v>
      </c>
      <c r="CRW39" s="68">
        <f t="shared" si="1737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38"/>
        <v>592</v>
      </c>
      <c r="CSE39" s="68">
        <f t="shared" si="1739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40"/>
        <v>1</v>
      </c>
      <c r="CSM39" s="68">
        <f t="shared" si="1741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42"/>
        <v>224</v>
      </c>
      <c r="CSU39" s="68">
        <f t="shared" si="1743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44"/>
        <v>237</v>
      </c>
      <c r="CTC39" s="68">
        <f t="shared" si="1745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46"/>
        <v>431</v>
      </c>
      <c r="CTK39" s="68">
        <f t="shared" si="1747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48"/>
        <v>218</v>
      </c>
      <c r="CTS39" s="68">
        <f t="shared" si="1749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50"/>
        <v>606</v>
      </c>
      <c r="CUA39" s="68">
        <f t="shared" si="1751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52"/>
        <v>0</v>
      </c>
      <c r="CUI39" s="68">
        <f t="shared" si="1753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54"/>
        <v>551</v>
      </c>
      <c r="CUQ39" s="68">
        <f t="shared" si="1755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56"/>
        <v>0</v>
      </c>
      <c r="CUY39" s="68">
        <f t="shared" si="1757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58"/>
        <v>335</v>
      </c>
      <c r="CVG39" s="68">
        <f t="shared" si="1759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60"/>
        <v>330</v>
      </c>
      <c r="CVO39" s="68">
        <f t="shared" si="1761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62"/>
        <v>330</v>
      </c>
      <c r="CVW39" s="68">
        <f t="shared" si="1763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64"/>
        <v>0</v>
      </c>
      <c r="CWE39" s="68">
        <f t="shared" si="1765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66"/>
        <v>318</v>
      </c>
      <c r="CWM39" s="68">
        <f t="shared" si="1767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68"/>
        <v>210</v>
      </c>
      <c r="CWU39" s="68">
        <f t="shared" si="1769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70"/>
        <v>220</v>
      </c>
      <c r="CXC39" s="43">
        <f t="shared" si="1771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72"/>
        <v>110</v>
      </c>
      <c r="CXK39" s="43">
        <f t="shared" si="1773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74"/>
        <v>323</v>
      </c>
      <c r="CXS39" s="43">
        <f t="shared" si="1775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76"/>
        <v>110</v>
      </c>
      <c r="CYA39" s="43">
        <f t="shared" si="1777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78"/>
        <v>330</v>
      </c>
      <c r="CYI39" s="43">
        <f t="shared" si="1779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80"/>
        <v>547</v>
      </c>
      <c r="CYQ39" s="43">
        <f t="shared" si="1781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82"/>
        <v>0</v>
      </c>
      <c r="CYY39" s="43">
        <f t="shared" si="1783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84"/>
        <v>330</v>
      </c>
      <c r="CZG39" s="43">
        <f t="shared" si="1785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86"/>
        <v>495</v>
      </c>
      <c r="CZO39" s="43">
        <f t="shared" si="1787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88"/>
        <v>328</v>
      </c>
      <c r="CZW39" s="43">
        <f t="shared" si="1789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90"/>
        <v>110</v>
      </c>
      <c r="DAE39" s="68">
        <f t="shared" si="1791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92"/>
        <v>711</v>
      </c>
      <c r="DAM39" s="68">
        <f t="shared" si="1793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94"/>
        <v>285</v>
      </c>
      <c r="DAU39" s="68">
        <f t="shared" si="1795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96"/>
        <v>661</v>
      </c>
      <c r="DBC39" s="68">
        <f t="shared" si="1797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98"/>
        <v>600</v>
      </c>
      <c r="DBK39" s="68">
        <f t="shared" si="1799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800"/>
        <v>230</v>
      </c>
      <c r="DBS39" s="68">
        <f t="shared" si="1801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802"/>
        <v>111</v>
      </c>
      <c r="DCA39" s="68">
        <f t="shared" si="1803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804"/>
        <v>1101</v>
      </c>
      <c r="DCI39" s="68">
        <f t="shared" si="1805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806"/>
        <v>448</v>
      </c>
      <c r="DCQ39" s="68">
        <f t="shared" si="1807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808"/>
        <v>629</v>
      </c>
      <c r="DCY39" s="68">
        <f t="shared" si="1809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810"/>
        <v>437</v>
      </c>
      <c r="DDG39" s="68">
        <f t="shared" si="1811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12"/>
        <v>110</v>
      </c>
      <c r="DDO39" s="43">
        <f t="shared" si="1813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14"/>
        <v>606</v>
      </c>
      <c r="DDW39" s="43">
        <f t="shared" si="1815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16"/>
        <v>0</v>
      </c>
      <c r="DEE39" s="43">
        <f t="shared" si="1817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18"/>
        <v>406</v>
      </c>
      <c r="DEM39" s="43">
        <f t="shared" si="1819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20"/>
        <v>334</v>
      </c>
      <c r="DEU39" s="43">
        <f t="shared" si="1821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22"/>
        <v>894</v>
      </c>
      <c r="DFC39" s="43">
        <f t="shared" si="1823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24"/>
        <v>148</v>
      </c>
      <c r="DFK39" s="43">
        <f t="shared" si="1825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26"/>
        <v>660</v>
      </c>
      <c r="DFS39" s="68">
        <f t="shared" si="1827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28"/>
        <v>1484</v>
      </c>
      <c r="DGA39" s="43">
        <f t="shared" si="1829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30"/>
        <v>648</v>
      </c>
      <c r="DGI39" s="43">
        <f t="shared" si="1831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32"/>
        <v>442</v>
      </c>
      <c r="DGQ39" s="68">
        <f t="shared" si="1833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34"/>
        <v>850</v>
      </c>
      <c r="DGY39" s="68">
        <f t="shared" si="1835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36"/>
        <v>638</v>
      </c>
      <c r="DHG39" s="68">
        <f t="shared" si="1837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38"/>
        <v>1008</v>
      </c>
      <c r="DHO39" s="68">
        <f t="shared" si="1839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40"/>
        <v>0</v>
      </c>
      <c r="DHW39" s="68">
        <f t="shared" si="1841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42"/>
        <v>335</v>
      </c>
      <c r="DIE39" s="68">
        <f t="shared" si="1843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44"/>
        <v>331</v>
      </c>
      <c r="DIM39" s="68">
        <f t="shared" si="1845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46"/>
        <v>110</v>
      </c>
      <c r="DIU39" s="68">
        <f t="shared" si="1847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48"/>
        <v>0</v>
      </c>
      <c r="DJC39" s="68">
        <f t="shared" si="1849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50"/>
        <v>325</v>
      </c>
      <c r="DJK39" s="68">
        <f t="shared" si="1851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52"/>
        <v>220</v>
      </c>
      <c r="DJS39" s="68">
        <f t="shared" si="1853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54"/>
        <v>220</v>
      </c>
      <c r="DKA39" s="68">
        <f t="shared" si="1855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56"/>
        <v>112</v>
      </c>
      <c r="DKI39" s="68">
        <f t="shared" si="1857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58"/>
        <v>330</v>
      </c>
      <c r="DKQ39" s="68">
        <f t="shared" si="1859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60"/>
        <v>0</v>
      </c>
      <c r="DKY39" s="68">
        <f t="shared" si="1861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62"/>
        <v>220</v>
      </c>
      <c r="DLG39" s="68">
        <f t="shared" si="1863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64"/>
        <v>1083</v>
      </c>
      <c r="DLO39" s="68">
        <f t="shared" si="1865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66"/>
        <v>0</v>
      </c>
      <c r="DLW39" s="68">
        <f t="shared" si="1867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68"/>
        <v>0</v>
      </c>
      <c r="DME39" s="68">
        <f t="shared" si="1869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70"/>
        <v>94</v>
      </c>
      <c r="DMM39" s="68">
        <f t="shared" si="1871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72"/>
        <v>330</v>
      </c>
      <c r="DMU39" s="68">
        <f t="shared" si="1873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74"/>
        <v>440</v>
      </c>
      <c r="DNC39" s="68">
        <f t="shared" si="1875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76"/>
        <v>1340</v>
      </c>
      <c r="DNK39" s="68">
        <f t="shared" si="1877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78"/>
        <v>325</v>
      </c>
      <c r="DNS39" s="68">
        <f t="shared" si="1879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80"/>
        <v>261</v>
      </c>
      <c r="DOA39" s="68">
        <f t="shared" si="1881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82"/>
        <v>335</v>
      </c>
      <c r="DOI39" s="68">
        <f t="shared" si="1883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84"/>
        <v>329</v>
      </c>
      <c r="DOQ39" s="68">
        <f t="shared" si="1885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86"/>
        <v>330</v>
      </c>
      <c r="DOY39" s="68">
        <f t="shared" si="1887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88"/>
        <v>330</v>
      </c>
      <c r="DPG39" s="68">
        <f t="shared" si="1889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90"/>
        <v>335</v>
      </c>
      <c r="DPO39" s="68">
        <f t="shared" si="1891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92"/>
        <v>0</v>
      </c>
      <c r="DPW39" s="492">
        <f t="shared" si="1893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94"/>
        <v>324</v>
      </c>
      <c r="DQE39" s="492">
        <f t="shared" si="1895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96"/>
        <v>328</v>
      </c>
      <c r="DQM39" s="492">
        <f t="shared" si="1897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98"/>
        <v>219</v>
      </c>
      <c r="DQU39" s="68">
        <f t="shared" si="1899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900"/>
        <v>330</v>
      </c>
      <c r="DRC39" s="492">
        <f t="shared" si="1901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902"/>
        <v>0</v>
      </c>
      <c r="DRK39" s="492">
        <f t="shared" si="1903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99"/>
        <v>327</v>
      </c>
      <c r="DRS39" s="68">
        <f t="shared" si="1600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601"/>
        <v>221</v>
      </c>
      <c r="DSA39" s="68">
        <f t="shared" si="1602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603"/>
        <v>166</v>
      </c>
      <c r="DSI39" s="68">
        <f t="shared" si="1604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605"/>
        <v>107</v>
      </c>
      <c r="DSQ39" s="68">
        <f t="shared" si="1606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607"/>
        <v>351</v>
      </c>
      <c r="DSY39" s="68">
        <f t="shared" si="1608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609"/>
        <v>109</v>
      </c>
      <c r="DTG39" s="68">
        <f t="shared" si="1610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611"/>
        <v>663</v>
      </c>
      <c r="DTO39" s="68">
        <f t="shared" si="1612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13"/>
        <v>0</v>
      </c>
      <c r="DTW39" s="68">
        <f t="shared" si="1614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15"/>
        <v>439</v>
      </c>
      <c r="DUE39" s="68">
        <f t="shared" si="1616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17"/>
        <v>437</v>
      </c>
      <c r="DUM39" s="68">
        <f t="shared" si="1618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19"/>
        <v>551</v>
      </c>
      <c r="DUU39" s="68">
        <f t="shared" si="1620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21"/>
        <v>320</v>
      </c>
      <c r="DVC39" s="68">
        <f t="shared" si="1622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23"/>
        <v>401</v>
      </c>
      <c r="DVK39" s="68">
        <f t="shared" si="1624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25"/>
        <v>399</v>
      </c>
      <c r="DVS39" s="68">
        <f t="shared" si="1626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27"/>
        <v>577</v>
      </c>
      <c r="DWA39" s="68">
        <f t="shared" si="1628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29"/>
        <v>440</v>
      </c>
      <c r="DWI39" s="68">
        <f t="shared" si="1630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31"/>
        <v>666</v>
      </c>
      <c r="DWQ39" s="68">
        <f t="shared" si="1632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33"/>
        <v>330</v>
      </c>
      <c r="DWY39" s="68">
        <f t="shared" si="1634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35"/>
        <v>441</v>
      </c>
      <c r="DXG39" s="68">
        <f t="shared" si="1636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37"/>
        <v>550</v>
      </c>
      <c r="DXO39" s="68">
        <f t="shared" si="1638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8"/>
        <v>400</v>
      </c>
      <c r="DXW39" s="68">
        <f t="shared" si="1329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30"/>
        <v>439</v>
      </c>
      <c r="DYE39" s="68">
        <f t="shared" si="1331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32"/>
        <v>337</v>
      </c>
      <c r="DYM39" s="68">
        <f t="shared" si="1333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34"/>
        <v>430</v>
      </c>
      <c r="DYU39" s="68">
        <f t="shared" si="1335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36"/>
        <v>231</v>
      </c>
      <c r="DZC39" s="68">
        <f t="shared" si="1337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8"/>
        <v>224</v>
      </c>
      <c r="DZK39" s="68">
        <f t="shared" si="1339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40"/>
        <v>337</v>
      </c>
      <c r="DZS39" s="68">
        <f t="shared" si="1341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42"/>
        <v>0</v>
      </c>
      <c r="EAA39" s="68">
        <f t="shared" si="1343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44"/>
        <v>330</v>
      </c>
      <c r="EAI39" s="68">
        <f t="shared" si="1345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46"/>
        <v>110</v>
      </c>
      <c r="EAQ39" s="68">
        <f t="shared" si="1347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8"/>
        <v>441</v>
      </c>
      <c r="EAY39" s="68">
        <f t="shared" si="1349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50"/>
        <v>220</v>
      </c>
      <c r="EBG39" s="68">
        <f t="shared" si="1351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52"/>
        <v>110</v>
      </c>
      <c r="EBO39" s="68">
        <f t="shared" si="1353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54"/>
        <v>220</v>
      </c>
      <c r="EBW39" s="68">
        <f t="shared" si="1355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56"/>
        <v>330</v>
      </c>
      <c r="ECE39" s="68">
        <f t="shared" si="1357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8"/>
        <v>0</v>
      </c>
      <c r="ECM39" s="68">
        <f t="shared" si="1359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60"/>
        <v>334</v>
      </c>
      <c r="ECU39" s="68">
        <f t="shared" si="1361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62"/>
        <v>336</v>
      </c>
      <c r="EDC39" s="68">
        <f t="shared" si="1363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64"/>
        <v>330</v>
      </c>
      <c r="EDK39" s="68">
        <f t="shared" si="1365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66"/>
        <v>440</v>
      </c>
      <c r="EDS39" s="68">
        <f t="shared" si="1367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8"/>
        <v>0</v>
      </c>
      <c r="EEA39" s="68">
        <f t="shared" si="1369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70"/>
        <v>110</v>
      </c>
      <c r="EEI39" s="68">
        <f t="shared" si="1371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72"/>
        <v>441</v>
      </c>
      <c r="EEQ39" s="68">
        <f t="shared" si="1373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74"/>
        <v>530</v>
      </c>
      <c r="EEY39" s="68">
        <f t="shared" si="1375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76"/>
        <v>0</v>
      </c>
      <c r="EFG39" s="68">
        <f t="shared" si="1377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8"/>
        <v>335</v>
      </c>
      <c r="EFO39" s="68">
        <f t="shared" si="1379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80"/>
        <v>0</v>
      </c>
      <c r="EFW39" s="68">
        <f t="shared" si="1381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82"/>
        <v>110</v>
      </c>
      <c r="EGE39" s="68">
        <f t="shared" si="1383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84"/>
        <v>226</v>
      </c>
      <c r="EGM39" s="68">
        <f t="shared" si="1385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86"/>
        <v>0</v>
      </c>
      <c r="EGU39" s="68">
        <f t="shared" si="1387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8"/>
        <v>340</v>
      </c>
      <c r="EHC39" s="68">
        <f t="shared" si="1389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90"/>
        <v>0</v>
      </c>
      <c r="EHK39" s="68">
        <f t="shared" si="1391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92"/>
        <v>341</v>
      </c>
      <c r="EHS39" s="68">
        <f t="shared" si="1393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94"/>
        <v>111</v>
      </c>
      <c r="EIA39" s="68">
        <f t="shared" si="1395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6"/>
        <v>0</v>
      </c>
      <c r="EII39" s="68">
        <f t="shared" si="1397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8"/>
        <v>330</v>
      </c>
      <c r="EIQ39" s="68">
        <f t="shared" si="1399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400"/>
        <v>447</v>
      </c>
      <c r="EIY39" s="68">
        <f t="shared" si="1401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402"/>
        <v>112</v>
      </c>
      <c r="EJG39" s="68">
        <f t="shared" si="1403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404"/>
        <v>329</v>
      </c>
      <c r="EJO39" s="68">
        <f t="shared" si="1405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406"/>
        <v>618</v>
      </c>
      <c r="EJW39" s="68">
        <f t="shared" si="1407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8"/>
        <v>0</v>
      </c>
      <c r="EKE39" s="68">
        <f t="shared" si="1409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10"/>
        <v>325</v>
      </c>
      <c r="EKM39" s="68">
        <f t="shared" si="1411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12"/>
        <v>284</v>
      </c>
      <c r="EKU39" s="184">
        <f t="shared" si="1413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14"/>
        <v>888</v>
      </c>
      <c r="ELD39" s="211">
        <f t="shared" si="1415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16"/>
        <v>727</v>
      </c>
      <c r="ELL39" s="211">
        <f t="shared" si="1417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8"/>
        <v>1034</v>
      </c>
      <c r="ELT39" s="211">
        <f t="shared" si="1419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20"/>
        <v>0</v>
      </c>
      <c r="EMB39" s="211">
        <f t="shared" si="1421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22"/>
        <v>679</v>
      </c>
      <c r="EMJ39" s="211">
        <f t="shared" si="1423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24"/>
        <v>1750</v>
      </c>
      <c r="EMR39" s="211">
        <f t="shared" si="1425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26"/>
        <v>410</v>
      </c>
      <c r="EMZ39" s="211">
        <f t="shared" si="1427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8"/>
        <v>955</v>
      </c>
      <c r="ENH39" s="211">
        <f t="shared" si="1429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30"/>
        <v>523</v>
      </c>
      <c r="ENP39" s="211">
        <f t="shared" si="1431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32"/>
        <v>570</v>
      </c>
      <c r="ENX39" s="211">
        <f t="shared" si="1433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34"/>
        <v>368</v>
      </c>
      <c r="EOF39" s="211">
        <f t="shared" si="1435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36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37"/>
        <v>0</v>
      </c>
      <c r="EOV39" s="211">
        <f t="shared" si="1438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9"/>
        <v>338</v>
      </c>
      <c r="EPD39" s="211">
        <f t="shared" si="1440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41"/>
        <v>333</v>
      </c>
      <c r="EPL39" s="211">
        <f t="shared" si="1442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43"/>
        <v>227</v>
      </c>
      <c r="EPT39" s="211">
        <f t="shared" si="1444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45"/>
        <v>222</v>
      </c>
      <c r="EQB39" s="211">
        <f t="shared" si="1446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47"/>
        <v>296</v>
      </c>
      <c r="EQJ39" s="211">
        <f t="shared" si="1448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9"/>
        <v>113</v>
      </c>
      <c r="EQR39" s="211">
        <f t="shared" si="1450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51"/>
        <v>444</v>
      </c>
      <c r="EQZ39" s="211">
        <f t="shared" si="1452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53"/>
        <v>2747</v>
      </c>
      <c r="ERH39" s="211">
        <f t="shared" si="1454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55"/>
        <v>226</v>
      </c>
      <c r="ERP39" s="211">
        <f t="shared" si="1456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57"/>
        <v>223</v>
      </c>
      <c r="ERX39" s="211">
        <f t="shared" si="1458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9"/>
        <v>339</v>
      </c>
      <c r="ESF39" s="211">
        <f t="shared" si="1460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61"/>
        <v>336</v>
      </c>
      <c r="ESN39" s="211">
        <f t="shared" si="1462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63"/>
        <v>234</v>
      </c>
      <c r="ESV39" s="211">
        <f t="shared" si="1464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5"/>
        <v>333</v>
      </c>
      <c r="ETD39" s="211">
        <f t="shared" si="1466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67"/>
        <v>568</v>
      </c>
      <c r="ETL39" s="211">
        <f t="shared" si="1468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9"/>
        <v>339</v>
      </c>
      <c r="ETT39" s="211">
        <f t="shared" si="1470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71"/>
        <v>439</v>
      </c>
      <c r="EUB39" s="211">
        <f t="shared" si="1472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73"/>
        <v>657</v>
      </c>
      <c r="EUJ39" s="211">
        <f t="shared" si="1474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5"/>
        <v>0</v>
      </c>
      <c r="EUR39" s="211">
        <f t="shared" si="1476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7"/>
        <v>332</v>
      </c>
      <c r="EUZ39" s="211">
        <f t="shared" si="1478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9"/>
        <v>217</v>
      </c>
      <c r="EVH39" s="211">
        <f t="shared" si="1480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81"/>
        <v>0</v>
      </c>
      <c r="EVP39" s="211">
        <f t="shared" si="1482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83"/>
        <v>224</v>
      </c>
      <c r="EVX39" s="211">
        <f t="shared" si="1484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85"/>
        <v>550</v>
      </c>
      <c r="EWF39" s="211">
        <f t="shared" si="1486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7"/>
        <v>0</v>
      </c>
      <c r="EWN39" s="211">
        <f t="shared" si="1488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9"/>
        <v>0</v>
      </c>
      <c r="EWV39" s="211">
        <f t="shared" si="1490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91"/>
        <v>0</v>
      </c>
      <c r="EXD39" s="211">
        <f t="shared" si="1492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93"/>
        <v>0</v>
      </c>
      <c r="EXL39" s="211">
        <f t="shared" si="1494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95"/>
        <v>962</v>
      </c>
      <c r="EXT39" s="211">
        <f t="shared" si="1496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97"/>
        <v>222</v>
      </c>
      <c r="EYB39" s="211">
        <f t="shared" si="1498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9"/>
        <v>808</v>
      </c>
      <c r="EYJ39" s="211">
        <f t="shared" si="1500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501"/>
        <v>0</v>
      </c>
      <c r="EYR39" s="211">
        <f t="shared" si="1502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503"/>
        <v>648</v>
      </c>
      <c r="EYZ39" s="873">
        <f t="shared" si="1504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5"/>
        <v>0</v>
      </c>
      <c r="EZH39" s="873">
        <f t="shared" si="1506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7"/>
        <v>0</v>
      </c>
      <c r="EZP39" s="873">
        <f t="shared" si="1508"/>
        <v>0</v>
      </c>
      <c r="EZQ39" s="458">
        <v>0</v>
      </c>
      <c r="EZR39" s="83"/>
      <c r="EZS39" s="83">
        <v>0</v>
      </c>
      <c r="EZT39" s="83">
        <v>0</v>
      </c>
      <c r="EZU39" s="83">
        <v>0</v>
      </c>
      <c r="EZV39" s="83">
        <v>0</v>
      </c>
      <c r="EZW39" s="872">
        <f t="shared" si="1509"/>
        <v>0</v>
      </c>
      <c r="EZX39" s="873">
        <f t="shared" si="1510"/>
        <v>0</v>
      </c>
      <c r="EZY39" s="195">
        <v>0</v>
      </c>
      <c r="EZZ39" s="49">
        <v>0</v>
      </c>
      <c r="FAA39" s="49"/>
      <c r="FAB39" s="49"/>
      <c r="FAC39" s="49"/>
      <c r="FAD39" s="49"/>
      <c r="FAE39" s="872">
        <f t="shared" si="1511"/>
        <v>0</v>
      </c>
      <c r="FAF39" s="873">
        <f t="shared" si="1512"/>
        <v>0</v>
      </c>
    </row>
    <row r="40" spans="1:4088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6"/>
        <v>0</v>
      </c>
      <c r="L40" s="24">
        <f t="shared" si="1517"/>
        <v>1212</v>
      </c>
      <c r="M40" s="15">
        <f t="shared" si="1639"/>
        <v>1212</v>
      </c>
      <c r="N40" s="15">
        <v>0</v>
      </c>
      <c r="O40" s="276">
        <f t="shared" si="1229"/>
        <v>0</v>
      </c>
      <c r="P40" s="712">
        <v>103.33333333333333</v>
      </c>
      <c r="Q40" s="276"/>
      <c r="R40" s="277">
        <f t="shared" si="1519"/>
        <v>30.76923076923077</v>
      </c>
      <c r="S40" s="222">
        <v>800</v>
      </c>
      <c r="T40" s="276">
        <f t="shared" si="1640"/>
        <v>39.39</v>
      </c>
      <c r="U40" s="278"/>
      <c r="V40" s="276">
        <f t="shared" si="1233"/>
        <v>39.39</v>
      </c>
      <c r="W40" s="279">
        <f t="shared" si="1234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20"/>
        <v>0</v>
      </c>
      <c r="DEU40" s="43">
        <f t="shared" si="1821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22"/>
        <v>0</v>
      </c>
      <c r="DFC40" s="43">
        <f t="shared" si="1823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24"/>
        <v>1105</v>
      </c>
      <c r="DFK40" s="43">
        <f t="shared" si="1825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26"/>
        <v>0</v>
      </c>
      <c r="DFS40" s="68">
        <f t="shared" si="1827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28"/>
        <v>0</v>
      </c>
      <c r="DGA40" s="43">
        <f t="shared" si="1829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30"/>
        <v>844</v>
      </c>
      <c r="DGI40" s="43">
        <f t="shared" si="1831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32"/>
        <v>324</v>
      </c>
      <c r="DGQ40" s="68">
        <f t="shared" si="1833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34"/>
        <v>0</v>
      </c>
      <c r="DGY40" s="68">
        <f t="shared" si="1835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36"/>
        <v>0</v>
      </c>
      <c r="DHG40" s="68">
        <f t="shared" si="1837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38"/>
        <v>0</v>
      </c>
      <c r="DHO40" s="68">
        <f t="shared" si="1839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40"/>
        <v>200</v>
      </c>
      <c r="DHW40" s="68">
        <f t="shared" si="1841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42"/>
        <v>474</v>
      </c>
      <c r="DIE40" s="68">
        <f t="shared" si="1843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44"/>
        <v>405</v>
      </c>
      <c r="DIM40" s="68">
        <f t="shared" si="1845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46"/>
        <v>618</v>
      </c>
      <c r="DIU40" s="68">
        <f t="shared" si="1847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48"/>
        <v>365</v>
      </c>
      <c r="DJC40" s="68">
        <f t="shared" si="1849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50"/>
        <v>404</v>
      </c>
      <c r="DJK40" s="68">
        <f t="shared" si="1851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52"/>
        <v>215</v>
      </c>
      <c r="DJS40" s="68">
        <f t="shared" si="1853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54"/>
        <v>161</v>
      </c>
      <c r="DKA40" s="68">
        <f t="shared" si="1855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6"/>
        <v>0</v>
      </c>
      <c r="DKI40" s="68">
        <f t="shared" si="1857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58"/>
        <v>0</v>
      </c>
      <c r="DKQ40" s="68">
        <f t="shared" si="1859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60"/>
        <v>0</v>
      </c>
      <c r="DKY40" s="68">
        <f t="shared" si="1861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62"/>
        <v>0</v>
      </c>
      <c r="DLG40" s="68">
        <f t="shared" si="1863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64"/>
        <v>1028</v>
      </c>
      <c r="DLO40" s="68">
        <f t="shared" si="1865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6"/>
        <v>0</v>
      </c>
      <c r="DLW40" s="68">
        <f t="shared" si="1867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68"/>
        <v>0</v>
      </c>
      <c r="DME40" s="68">
        <f t="shared" si="1869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70"/>
        <v>1051</v>
      </c>
      <c r="DMM40" s="68">
        <f t="shared" si="1871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72"/>
        <v>0</v>
      </c>
      <c r="DMU40" s="68">
        <f t="shared" si="1873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74"/>
        <v>10</v>
      </c>
      <c r="DNC40" s="68">
        <f t="shared" si="1875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76"/>
        <v>245</v>
      </c>
      <c r="DNK40" s="68">
        <f t="shared" si="1877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78"/>
        <v>328</v>
      </c>
      <c r="DNS40" s="68">
        <f t="shared" si="1879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80"/>
        <v>0</v>
      </c>
      <c r="DOA40" s="68">
        <f t="shared" si="1881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82"/>
        <v>0</v>
      </c>
      <c r="DOI40" s="68">
        <f t="shared" si="1883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84"/>
        <v>218</v>
      </c>
      <c r="DOQ40" s="68">
        <f t="shared" si="1885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86"/>
        <v>900</v>
      </c>
      <c r="DOY40" s="68">
        <f t="shared" si="1887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88"/>
        <v>0</v>
      </c>
      <c r="DPG40" s="68">
        <f t="shared" si="1889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90"/>
        <v>0</v>
      </c>
      <c r="DPO40" s="68">
        <f t="shared" si="1891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92"/>
        <v>0</v>
      </c>
      <c r="DPW40" s="492">
        <f t="shared" si="1893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94"/>
        <v>0</v>
      </c>
      <c r="DQE40" s="492">
        <f t="shared" si="1895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96"/>
        <v>0</v>
      </c>
      <c r="DQM40" s="492">
        <f t="shared" si="1897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98"/>
        <v>0</v>
      </c>
      <c r="DQU40" s="68">
        <f t="shared" si="1899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900"/>
        <v>0</v>
      </c>
      <c r="DRC40" s="492">
        <f t="shared" si="1901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902"/>
        <v>0</v>
      </c>
      <c r="DRK40" s="492">
        <f t="shared" si="1903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99"/>
        <v>0</v>
      </c>
      <c r="DRS40" s="68">
        <f t="shared" si="1600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601"/>
        <v>0</v>
      </c>
      <c r="DSA40" s="68">
        <f t="shared" si="1602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603"/>
        <v>25</v>
      </c>
      <c r="DSI40" s="68">
        <f t="shared" si="1604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605"/>
        <v>0</v>
      </c>
      <c r="DSQ40" s="68">
        <f t="shared" si="1606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607"/>
        <v>0</v>
      </c>
      <c r="DSY40" s="68">
        <f t="shared" si="1608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609"/>
        <v>0</v>
      </c>
      <c r="DTG40" s="68">
        <f t="shared" si="1610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611"/>
        <v>0</v>
      </c>
      <c r="DTO40" s="68">
        <f t="shared" si="1612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13"/>
        <v>0</v>
      </c>
      <c r="DTW40" s="68">
        <f t="shared" si="1614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15"/>
        <v>0</v>
      </c>
      <c r="DUE40" s="68">
        <f t="shared" si="1616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17"/>
        <v>0</v>
      </c>
      <c r="DUM40" s="68">
        <f t="shared" si="1618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19"/>
        <v>0</v>
      </c>
      <c r="DUU40" s="68">
        <f t="shared" si="1620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21"/>
        <v>0</v>
      </c>
      <c r="DVC40" s="68">
        <f t="shared" si="1622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23"/>
        <v>0</v>
      </c>
      <c r="DVK40" s="68">
        <f t="shared" si="1624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25"/>
        <v>0</v>
      </c>
      <c r="DVS40" s="68">
        <f t="shared" si="1626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27"/>
        <v>1328</v>
      </c>
      <c r="DWA40" s="68">
        <f t="shared" si="1628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29"/>
        <v>0</v>
      </c>
      <c r="DWI40" s="68">
        <f t="shared" si="1630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31"/>
        <v>1000</v>
      </c>
      <c r="DWQ40" s="68">
        <f t="shared" si="1632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33"/>
        <v>620</v>
      </c>
      <c r="DWY40" s="68">
        <f t="shared" si="1634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35"/>
        <v>0</v>
      </c>
      <c r="DXG40" s="68">
        <f t="shared" si="1636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7"/>
        <v>0</v>
      </c>
      <c r="DXO40" s="68">
        <f t="shared" si="1638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8"/>
        <v>439</v>
      </c>
      <c r="DXW40" s="68">
        <f t="shared" si="1329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30"/>
        <v>0</v>
      </c>
      <c r="DYE40" s="68">
        <f t="shared" si="1331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32"/>
        <v>0</v>
      </c>
      <c r="DYM40" s="68">
        <f t="shared" si="1333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34"/>
        <v>0</v>
      </c>
      <c r="DYU40" s="68">
        <f t="shared" si="1335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36"/>
        <v>0</v>
      </c>
      <c r="DZC40" s="68">
        <f t="shared" si="1337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8"/>
        <v>0</v>
      </c>
      <c r="DZK40" s="68">
        <f t="shared" si="1339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40"/>
        <v>0</v>
      </c>
      <c r="DZS40" s="68">
        <f t="shared" si="1341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42"/>
        <v>544</v>
      </c>
      <c r="EAA40" s="68">
        <f t="shared" si="1343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44"/>
        <v>0</v>
      </c>
      <c r="EAI40" s="68">
        <f t="shared" si="1345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46"/>
        <v>224</v>
      </c>
      <c r="EAQ40" s="68">
        <f t="shared" si="1347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8"/>
        <v>404</v>
      </c>
      <c r="EAY40" s="68">
        <f t="shared" si="1349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50"/>
        <v>218</v>
      </c>
      <c r="EBG40" s="68">
        <f t="shared" si="1351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52"/>
        <v>480</v>
      </c>
      <c r="EBO40" s="68">
        <f t="shared" si="1353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54"/>
        <v>433</v>
      </c>
      <c r="EBW40" s="68">
        <f t="shared" si="1355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56"/>
        <v>0</v>
      </c>
      <c r="ECE40" s="68">
        <f t="shared" si="1357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8"/>
        <v>221</v>
      </c>
      <c r="ECM40" s="68">
        <f t="shared" si="1359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60"/>
        <v>225</v>
      </c>
      <c r="ECU40" s="68">
        <f t="shared" si="1361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62"/>
        <v>224</v>
      </c>
      <c r="EDC40" s="68">
        <f t="shared" si="1363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64"/>
        <v>0</v>
      </c>
      <c r="EDK40" s="68">
        <f t="shared" si="1365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66"/>
        <v>0</v>
      </c>
      <c r="EDS40" s="68">
        <f t="shared" si="1367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8"/>
        <v>110</v>
      </c>
      <c r="EEA40" s="68">
        <f t="shared" si="1369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70"/>
        <v>332</v>
      </c>
      <c r="EEI40" s="68">
        <f t="shared" si="1371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72"/>
        <v>0</v>
      </c>
      <c r="EEQ40" s="68">
        <f t="shared" si="1373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74"/>
        <v>222</v>
      </c>
      <c r="EEY40" s="68">
        <f t="shared" si="1375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6"/>
        <v>224</v>
      </c>
      <c r="EFG40" s="68">
        <f t="shared" si="1377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8"/>
        <v>0</v>
      </c>
      <c r="EFO40" s="68">
        <f t="shared" si="1379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80"/>
        <v>246</v>
      </c>
      <c r="EFW40" s="68">
        <f t="shared" si="1381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82"/>
        <v>0</v>
      </c>
      <c r="EGE40" s="68">
        <f t="shared" si="1383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84"/>
        <v>0</v>
      </c>
      <c r="EGM40" s="68">
        <f t="shared" si="1385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86"/>
        <v>323</v>
      </c>
      <c r="EGU40" s="68">
        <f t="shared" si="1387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8"/>
        <v>0</v>
      </c>
      <c r="EHC40" s="68">
        <f t="shared" si="1389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90"/>
        <v>0</v>
      </c>
      <c r="EHK40" s="68">
        <f t="shared" si="1391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92"/>
        <v>0</v>
      </c>
      <c r="EHS40" s="68">
        <f t="shared" si="1393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94"/>
        <v>726</v>
      </c>
      <c r="EIA40" s="68">
        <f t="shared" si="1395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6"/>
        <v>0</v>
      </c>
      <c r="EII40" s="68">
        <f t="shared" si="1397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8"/>
        <v>0</v>
      </c>
      <c r="EIQ40" s="68">
        <f t="shared" si="1399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400"/>
        <v>0</v>
      </c>
      <c r="EIY40" s="68">
        <f t="shared" si="1401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402"/>
        <v>0</v>
      </c>
      <c r="EJG40" s="68">
        <f t="shared" si="1403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404"/>
        <v>0</v>
      </c>
      <c r="EJO40" s="68">
        <f t="shared" si="1405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406"/>
        <v>0</v>
      </c>
      <c r="EJW40" s="68">
        <f t="shared" si="1407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8"/>
        <v>62</v>
      </c>
      <c r="EKE40" s="68">
        <f t="shared" si="1409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10"/>
        <v>219</v>
      </c>
      <c r="EKM40" s="68">
        <f t="shared" si="1411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12"/>
        <v>0</v>
      </c>
      <c r="EKU40" s="184">
        <f t="shared" si="1413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14"/>
        <v>0</v>
      </c>
      <c r="ELD40" s="211">
        <f t="shared" si="1415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16"/>
        <v>0</v>
      </c>
      <c r="ELL40" s="211">
        <f t="shared" si="1417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8"/>
        <v>0</v>
      </c>
      <c r="ELT40" s="211">
        <f t="shared" si="1419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20"/>
        <v>0</v>
      </c>
      <c r="EMB40" s="211">
        <f t="shared" si="1421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22"/>
        <v>0</v>
      </c>
      <c r="EMJ40" s="211">
        <f t="shared" si="1423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24"/>
        <v>0</v>
      </c>
      <c r="EMR40" s="211">
        <f t="shared" si="1425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26"/>
        <v>0</v>
      </c>
      <c r="EMZ40" s="211">
        <f t="shared" si="1427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8"/>
        <v>220</v>
      </c>
      <c r="ENH40" s="211">
        <f t="shared" si="1429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30"/>
        <v>0</v>
      </c>
      <c r="ENP40" s="211">
        <f t="shared" si="1431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32"/>
        <v>0</v>
      </c>
      <c r="ENX40" s="211">
        <f t="shared" si="1433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34"/>
        <v>0</v>
      </c>
      <c r="EOF40" s="211">
        <f t="shared" si="1435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36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7"/>
        <v>0</v>
      </c>
      <c r="EOV40" s="211">
        <f t="shared" si="1438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9"/>
        <v>0</v>
      </c>
      <c r="EPD40" s="211">
        <f t="shared" si="1440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41"/>
        <v>0</v>
      </c>
      <c r="EPL40" s="211">
        <f t="shared" si="1442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43"/>
        <v>0</v>
      </c>
      <c r="EPT40" s="211">
        <f t="shared" si="1444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45"/>
        <v>225</v>
      </c>
      <c r="EQB40" s="211">
        <f t="shared" si="1446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47"/>
        <v>0</v>
      </c>
      <c r="EQJ40" s="211">
        <f t="shared" si="1448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9"/>
        <v>0</v>
      </c>
      <c r="EQR40" s="211">
        <f t="shared" si="1450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51"/>
        <v>0</v>
      </c>
      <c r="EQZ40" s="211">
        <f t="shared" si="1452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53"/>
        <v>0</v>
      </c>
      <c r="ERH40" s="211">
        <f t="shared" si="1454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55"/>
        <v>0</v>
      </c>
      <c r="ERP40" s="211">
        <f t="shared" si="1456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57"/>
        <v>0</v>
      </c>
      <c r="ERX40" s="211">
        <f t="shared" si="1458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9"/>
        <v>0</v>
      </c>
      <c r="ESF40" s="211">
        <f t="shared" si="1460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61"/>
        <v>0</v>
      </c>
      <c r="ESN40" s="211">
        <f t="shared" si="1462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63"/>
        <v>20</v>
      </c>
      <c r="ESV40" s="211">
        <f t="shared" si="1464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65"/>
        <v>20</v>
      </c>
      <c r="ETD40" s="211">
        <f t="shared" si="1466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67"/>
        <v>0</v>
      </c>
      <c r="ETL40" s="211">
        <f t="shared" si="1468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9"/>
        <v>0</v>
      </c>
      <c r="ETT40" s="211">
        <f t="shared" si="1470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71"/>
        <v>0</v>
      </c>
      <c r="EUB40" s="211">
        <f t="shared" si="1472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73"/>
        <v>0</v>
      </c>
      <c r="EUJ40" s="211">
        <f t="shared" si="1474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5"/>
        <v>0</v>
      </c>
      <c r="EUR40" s="211">
        <f t="shared" si="1476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7"/>
        <v>0</v>
      </c>
      <c r="EUZ40" s="211">
        <f t="shared" si="1478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9"/>
        <v>0</v>
      </c>
      <c r="EVH40" s="211">
        <f t="shared" si="1480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81"/>
        <v>0</v>
      </c>
      <c r="EVP40" s="211">
        <f t="shared" si="1482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83"/>
        <v>0</v>
      </c>
      <c r="EVX40" s="211">
        <f t="shared" si="1484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85"/>
        <v>300</v>
      </c>
      <c r="EWF40" s="211">
        <f t="shared" si="1486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7"/>
        <v>0</v>
      </c>
      <c r="EWN40" s="211">
        <f t="shared" si="1488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9"/>
        <v>0</v>
      </c>
      <c r="EWV40" s="211">
        <f t="shared" si="1490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91"/>
        <v>0</v>
      </c>
      <c r="EXD40" s="211">
        <f t="shared" si="1492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93"/>
        <v>0</v>
      </c>
      <c r="EXL40" s="211">
        <f t="shared" si="1494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95"/>
        <v>0</v>
      </c>
      <c r="EXT40" s="211">
        <f t="shared" si="1496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97"/>
        <v>230</v>
      </c>
      <c r="EYB40" s="211">
        <f t="shared" si="1498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9"/>
        <v>0</v>
      </c>
      <c r="EYJ40" s="211">
        <f t="shared" si="1500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501"/>
        <v>0</v>
      </c>
      <c r="EYR40" s="211">
        <f t="shared" si="1502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503"/>
        <v>0</v>
      </c>
      <c r="EYZ40" s="873">
        <f t="shared" si="1504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5"/>
        <v>0</v>
      </c>
      <c r="EZH40" s="873">
        <f t="shared" si="1506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7"/>
        <v>0</v>
      </c>
      <c r="EZP40" s="873">
        <f t="shared" si="1508"/>
        <v>0</v>
      </c>
      <c r="EZQ40" s="458">
        <v>0</v>
      </c>
      <c r="EZR40" s="83"/>
      <c r="EZS40" s="83">
        <v>0</v>
      </c>
      <c r="EZT40" s="83">
        <v>0</v>
      </c>
      <c r="EZU40" s="83">
        <v>0</v>
      </c>
      <c r="EZV40" s="83">
        <v>0</v>
      </c>
      <c r="EZW40" s="872">
        <f t="shared" si="1509"/>
        <v>0</v>
      </c>
      <c r="EZX40" s="873">
        <f t="shared" si="1510"/>
        <v>0</v>
      </c>
      <c r="EZY40" s="195">
        <v>0</v>
      </c>
      <c r="EZZ40" s="49">
        <v>0</v>
      </c>
      <c r="FAA40" s="49"/>
      <c r="FAB40" s="49"/>
      <c r="FAC40" s="49"/>
      <c r="FAD40" s="49"/>
      <c r="FAE40" s="872">
        <f t="shared" si="1511"/>
        <v>0</v>
      </c>
      <c r="FAF40" s="873">
        <f t="shared" si="1512"/>
        <v>0</v>
      </c>
    </row>
    <row r="41" spans="1:4088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750</v>
      </c>
      <c r="G41" s="24"/>
      <c r="H41" s="24">
        <v>1783</v>
      </c>
      <c r="I41" s="24"/>
      <c r="J41" s="360">
        <f>SUMIF(SUMPK!$B:$B,$B:$B,SUMPK!$O:$O)</f>
        <v>0</v>
      </c>
      <c r="K41" s="24">
        <f t="shared" si="1226"/>
        <v>0</v>
      </c>
      <c r="L41" s="24">
        <f t="shared" si="1517"/>
        <v>2533</v>
      </c>
      <c r="M41" s="15">
        <f t="shared" si="1639"/>
        <v>2533</v>
      </c>
      <c r="N41" s="15">
        <v>33.666666666666664</v>
      </c>
      <c r="O41" s="276">
        <f t="shared" si="1229"/>
        <v>75.237623762376245</v>
      </c>
      <c r="P41" s="712">
        <v>0</v>
      </c>
      <c r="Q41" s="276">
        <f t="shared" si="1518"/>
        <v>0</v>
      </c>
      <c r="R41" s="277">
        <f t="shared" si="1519"/>
        <v>184.61538461538461</v>
      </c>
      <c r="S41" s="222">
        <v>4800</v>
      </c>
      <c r="T41" s="276">
        <f t="shared" si="1640"/>
        <v>13.720416666666667</v>
      </c>
      <c r="U41" s="278"/>
      <c r="V41" s="276">
        <f t="shared" si="1233"/>
        <v>13.720416666666667</v>
      </c>
      <c r="W41" s="279">
        <f t="shared" si="1234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904"/>
        <v>1091</v>
      </c>
      <c r="AK41" s="43">
        <f t="shared" si="1905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906"/>
        <v>387</v>
      </c>
      <c r="AS41" s="43">
        <f t="shared" si="1907"/>
        <v>64.5</v>
      </c>
      <c r="AT41" s="48"/>
      <c r="AU41" s="49">
        <v>793</v>
      </c>
      <c r="AV41" s="49"/>
      <c r="AW41" s="49"/>
      <c r="AX41" s="49"/>
      <c r="AY41" s="49"/>
      <c r="AZ41" s="42">
        <f t="shared" si="1908"/>
        <v>793</v>
      </c>
      <c r="BA41" s="43">
        <f t="shared" si="1909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910"/>
        <v>597</v>
      </c>
      <c r="BI41" s="43">
        <f t="shared" si="1911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12"/>
        <v>1390</v>
      </c>
      <c r="BQ41" s="43">
        <f t="shared" si="1913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14"/>
        <v>600</v>
      </c>
      <c r="BY41" s="43">
        <f t="shared" si="1915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16"/>
        <v>1104</v>
      </c>
      <c r="CG41" s="43">
        <f t="shared" si="1917"/>
        <v>184</v>
      </c>
      <c r="CH41" s="48"/>
      <c r="CI41" s="49"/>
      <c r="CJ41" s="49"/>
      <c r="CK41" s="49">
        <v>383</v>
      </c>
      <c r="CL41" s="49"/>
      <c r="CM41" s="49"/>
      <c r="CN41" s="42">
        <f t="shared" si="1918"/>
        <v>383</v>
      </c>
      <c r="CO41" s="43">
        <f t="shared" si="1919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20"/>
        <v>783</v>
      </c>
      <c r="CW41" s="43">
        <f t="shared" si="1921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22"/>
        <v>568</v>
      </c>
      <c r="DE41" s="43">
        <f t="shared" si="1923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24"/>
        <v>1000</v>
      </c>
      <c r="DM41" s="43">
        <f t="shared" si="1925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26"/>
        <v>784</v>
      </c>
      <c r="DU41" s="43">
        <f t="shared" si="1927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28"/>
        <v>939</v>
      </c>
      <c r="EC41" s="43">
        <f t="shared" si="1929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30"/>
        <v>1201</v>
      </c>
      <c r="EK41" s="43">
        <f t="shared" si="1931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32"/>
        <v>797</v>
      </c>
      <c r="ES41" s="43">
        <f t="shared" si="1933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34"/>
        <v>1025</v>
      </c>
      <c r="FA41" s="43">
        <f t="shared" si="1935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36"/>
        <v>996</v>
      </c>
      <c r="FI41" s="43">
        <f t="shared" si="1937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38"/>
        <v>298</v>
      </c>
      <c r="FQ41" s="43">
        <f t="shared" si="1939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40"/>
        <v>392</v>
      </c>
      <c r="FY41" s="43">
        <f t="shared" si="1941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42"/>
        <v>796</v>
      </c>
      <c r="GG41" s="43">
        <f t="shared" si="1943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44"/>
        <v>1113</v>
      </c>
      <c r="GO41" s="43">
        <f t="shared" si="1945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46"/>
        <v>398</v>
      </c>
      <c r="GW41" s="43">
        <f t="shared" si="1947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48"/>
        <v>1297</v>
      </c>
      <c r="HE41" s="43">
        <f t="shared" si="1949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50"/>
        <v>399</v>
      </c>
      <c r="HM41" s="43">
        <f t="shared" si="1951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52"/>
        <v>701</v>
      </c>
      <c r="HU41" s="43">
        <f t="shared" si="1953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54"/>
        <v>593</v>
      </c>
      <c r="IC41" s="43">
        <f t="shared" si="1955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56"/>
        <v>1107</v>
      </c>
      <c r="IK41" s="43">
        <f t="shared" si="1957"/>
        <v>184.5</v>
      </c>
      <c r="IL41" s="48"/>
      <c r="IM41" s="49"/>
      <c r="IN41" s="49"/>
      <c r="IO41" s="49"/>
      <c r="IP41" s="49"/>
      <c r="IQ41" s="49"/>
      <c r="IR41" s="67">
        <f t="shared" si="1958"/>
        <v>0</v>
      </c>
      <c r="IS41" s="68">
        <f t="shared" si="1959"/>
        <v>0</v>
      </c>
      <c r="IT41" s="48"/>
      <c r="IU41" s="49"/>
      <c r="IV41" s="49">
        <v>382</v>
      </c>
      <c r="IW41" s="49"/>
      <c r="IX41" s="49"/>
      <c r="IY41" s="49"/>
      <c r="IZ41" s="67">
        <f t="shared" si="1960"/>
        <v>382</v>
      </c>
      <c r="JA41" s="68">
        <f t="shared" si="1961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62"/>
        <v>197</v>
      </c>
      <c r="JI41" s="68">
        <f t="shared" si="1963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64"/>
        <v>674</v>
      </c>
      <c r="JQ41" s="43">
        <f t="shared" si="1965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66"/>
        <v>517</v>
      </c>
      <c r="JY41" s="43">
        <f t="shared" si="1967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68"/>
        <v>391</v>
      </c>
      <c r="KG41" s="43">
        <f t="shared" si="1969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70"/>
        <v>303</v>
      </c>
      <c r="KO41" s="68">
        <f t="shared" si="1971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72"/>
        <v>694</v>
      </c>
      <c r="KW41" s="68">
        <f t="shared" si="1973"/>
        <v>115.66666666666667</v>
      </c>
      <c r="KX41" s="48"/>
      <c r="KY41" s="49"/>
      <c r="KZ41" s="49"/>
      <c r="LA41" s="49"/>
      <c r="LB41" s="49"/>
      <c r="LC41" s="49"/>
      <c r="LD41" s="67">
        <f t="shared" si="1974"/>
        <v>0</v>
      </c>
      <c r="LE41" s="68">
        <f t="shared" si="1975"/>
        <v>0</v>
      </c>
      <c r="LF41" s="48"/>
      <c r="LG41" s="49"/>
      <c r="LH41" s="49"/>
      <c r="LI41" s="49"/>
      <c r="LJ41" s="49"/>
      <c r="LK41" s="49"/>
      <c r="LL41" s="67">
        <f t="shared" si="1976"/>
        <v>0</v>
      </c>
      <c r="LM41" s="68">
        <f t="shared" si="1977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78"/>
        <v>1180</v>
      </c>
      <c r="LU41" s="68">
        <f t="shared" si="1979"/>
        <v>196.66666666666666</v>
      </c>
      <c r="LV41" s="48"/>
      <c r="LW41" s="49"/>
      <c r="LX41" s="49"/>
      <c r="LY41" s="49"/>
      <c r="LZ41" s="49"/>
      <c r="MA41" s="49"/>
      <c r="MB41" s="67">
        <f t="shared" si="1980"/>
        <v>0</v>
      </c>
      <c r="MC41" s="68">
        <f t="shared" si="1981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82"/>
        <v>300</v>
      </c>
      <c r="MK41" s="68">
        <f t="shared" si="1983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84"/>
        <v>801</v>
      </c>
      <c r="MS41" s="68">
        <f t="shared" si="1985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86"/>
        <v>208</v>
      </c>
      <c r="NA41" s="68">
        <f t="shared" si="1987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88"/>
        <v>313</v>
      </c>
      <c r="NI41" s="68">
        <f t="shared" si="1989"/>
        <v>52.166666666666664</v>
      </c>
      <c r="NJ41" s="48"/>
      <c r="NK41" s="49"/>
      <c r="NL41" s="49"/>
      <c r="NM41" s="49"/>
      <c r="NN41" s="49"/>
      <c r="NO41" s="49"/>
      <c r="NP41" s="67">
        <f t="shared" si="1990"/>
        <v>0</v>
      </c>
      <c r="NQ41" s="68">
        <f t="shared" si="1991"/>
        <v>0</v>
      </c>
      <c r="NR41" s="48">
        <v>608</v>
      </c>
      <c r="NS41" s="49"/>
      <c r="NT41" s="49"/>
      <c r="NU41" s="49"/>
      <c r="NV41" s="49"/>
      <c r="NW41" s="49"/>
      <c r="NX41" s="67">
        <f t="shared" si="1992"/>
        <v>608</v>
      </c>
      <c r="NY41" s="68">
        <f t="shared" si="1993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94"/>
        <v>1584</v>
      </c>
      <c r="OG41" s="68">
        <f t="shared" si="1995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96"/>
        <v>300</v>
      </c>
      <c r="OO41" s="68">
        <f t="shared" si="1997"/>
        <v>50</v>
      </c>
      <c r="OP41" s="48"/>
      <c r="OQ41" s="49"/>
      <c r="OR41" s="49">
        <v>589</v>
      </c>
      <c r="OS41" s="49"/>
      <c r="OT41" s="49"/>
      <c r="OU41" s="49"/>
      <c r="OV41" s="67">
        <f t="shared" si="1998"/>
        <v>589</v>
      </c>
      <c r="OW41" s="68">
        <f t="shared" si="1999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2000"/>
        <v>177</v>
      </c>
      <c r="PE41" s="68">
        <f t="shared" si="2001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2002"/>
        <v>896</v>
      </c>
      <c r="PM41" s="68">
        <f t="shared" si="2003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2004"/>
        <v>1225</v>
      </c>
      <c r="PU41" s="68">
        <f t="shared" si="2005"/>
        <v>204.16666666666666</v>
      </c>
      <c r="PV41" s="106"/>
      <c r="PW41" s="107"/>
      <c r="PX41" s="107"/>
      <c r="PY41" s="107"/>
      <c r="PZ41" s="107"/>
      <c r="QA41" s="107"/>
      <c r="QB41" s="104">
        <f t="shared" si="2006"/>
        <v>0</v>
      </c>
      <c r="QC41" s="105">
        <f t="shared" si="2007"/>
        <v>0</v>
      </c>
      <c r="QD41" s="106"/>
      <c r="QE41" s="107"/>
      <c r="QF41" s="107"/>
      <c r="QG41" s="107"/>
      <c r="QH41" s="107"/>
      <c r="QI41" s="107"/>
      <c r="QJ41" s="104">
        <f t="shared" si="2008"/>
        <v>0</v>
      </c>
      <c r="QK41" s="105">
        <f t="shared" si="2009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2010"/>
        <v>199</v>
      </c>
      <c r="QS41" s="105">
        <f t="shared" si="2011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12"/>
        <v>606</v>
      </c>
      <c r="RA41" s="105">
        <f t="shared" si="2013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14"/>
        <v>593</v>
      </c>
      <c r="RI41" s="105">
        <f t="shared" si="2015"/>
        <v>98.833333333333329</v>
      </c>
      <c r="RJ41" s="106"/>
      <c r="RK41" s="107"/>
      <c r="RL41" s="107"/>
      <c r="RM41" s="107"/>
      <c r="RN41" s="107"/>
      <c r="RO41" s="107"/>
      <c r="RP41" s="104">
        <f t="shared" si="2016"/>
        <v>0</v>
      </c>
      <c r="RQ41" s="105">
        <f t="shared" si="2017"/>
        <v>0</v>
      </c>
      <c r="RR41" s="106"/>
      <c r="RS41" s="107"/>
      <c r="RT41" s="107"/>
      <c r="RU41" s="107"/>
      <c r="RV41" s="107"/>
      <c r="RW41" s="107"/>
      <c r="RX41" s="104">
        <f t="shared" si="2018"/>
        <v>0</v>
      </c>
      <c r="RY41" s="105">
        <f t="shared" si="2019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20"/>
        <v>315</v>
      </c>
      <c r="SG41" s="105">
        <f t="shared" si="2021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22"/>
        <v>643</v>
      </c>
      <c r="SO41" s="105">
        <f t="shared" si="2023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24"/>
        <v>332</v>
      </c>
      <c r="SW41" s="105">
        <f t="shared" si="2025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26"/>
        <v>400</v>
      </c>
      <c r="TE41" s="105">
        <f t="shared" si="2027"/>
        <v>66.666666666666671</v>
      </c>
      <c r="TF41" s="106"/>
      <c r="TG41" s="107"/>
      <c r="TH41" s="107"/>
      <c r="TI41" s="107"/>
      <c r="TJ41" s="107"/>
      <c r="TK41" s="107"/>
      <c r="TL41" s="104">
        <f t="shared" si="2028"/>
        <v>0</v>
      </c>
      <c r="TM41" s="105">
        <f t="shared" si="2029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30"/>
        <v>269</v>
      </c>
      <c r="TU41" s="105">
        <f t="shared" si="2031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32"/>
        <v>811</v>
      </c>
      <c r="UC41" s="105">
        <f t="shared" si="2033"/>
        <v>135.16666666666666</v>
      </c>
      <c r="UD41" s="106"/>
      <c r="UE41" s="107"/>
      <c r="UF41" s="107"/>
      <c r="UG41" s="107"/>
      <c r="UH41" s="107"/>
      <c r="UI41" s="107"/>
      <c r="UJ41" s="104">
        <f t="shared" si="2034"/>
        <v>0</v>
      </c>
      <c r="UK41" s="105">
        <f t="shared" si="2035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91"/>
        <v>489</v>
      </c>
      <c r="UT41" s="105">
        <f t="shared" si="2036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37"/>
        <v>403</v>
      </c>
      <c r="VB41" s="105">
        <f t="shared" si="2038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39"/>
        <v>210</v>
      </c>
      <c r="VJ41" s="105">
        <f t="shared" si="2040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41"/>
        <v>396</v>
      </c>
      <c r="VR41" s="68">
        <f t="shared" si="2042"/>
        <v>66</v>
      </c>
      <c r="VS41" s="106"/>
      <c r="VT41" s="107"/>
      <c r="VU41" s="107"/>
      <c r="VV41" s="107"/>
      <c r="VW41" s="107"/>
      <c r="VX41" s="107"/>
      <c r="VY41" s="104">
        <f t="shared" si="2043"/>
        <v>0</v>
      </c>
      <c r="VZ41" s="105">
        <f t="shared" si="2044"/>
        <v>0</v>
      </c>
      <c r="WA41" s="63"/>
      <c r="WB41" s="64"/>
      <c r="WC41" s="64"/>
      <c r="WD41" s="64"/>
      <c r="WE41" s="64"/>
      <c r="WF41" s="64"/>
      <c r="WG41" s="67">
        <f t="shared" si="2045"/>
        <v>0</v>
      </c>
      <c r="WH41" s="68">
        <f t="shared" si="2046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47"/>
        <v>601</v>
      </c>
      <c r="WP41" s="105">
        <f t="shared" si="2048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49"/>
        <v>57</v>
      </c>
      <c r="WY41" s="68">
        <f t="shared" si="2050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51"/>
        <v>444</v>
      </c>
      <c r="XH41" s="68">
        <f t="shared" si="2052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53"/>
        <v>613</v>
      </c>
      <c r="XQ41" s="68">
        <f t="shared" si="2054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55"/>
        <v>622</v>
      </c>
      <c r="XZ41" s="68">
        <f t="shared" si="2056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57"/>
        <v>437</v>
      </c>
      <c r="YI41" s="68">
        <f t="shared" si="2058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59"/>
        <v>696</v>
      </c>
      <c r="YR41" s="68">
        <f t="shared" si="2060"/>
        <v>116</v>
      </c>
      <c r="YS41" s="48"/>
      <c r="YT41" s="49"/>
      <c r="YU41" s="49"/>
      <c r="YV41" s="49"/>
      <c r="YW41" s="49"/>
      <c r="YX41" s="49">
        <v>398</v>
      </c>
      <c r="YY41" s="67">
        <f t="shared" si="2061"/>
        <v>398</v>
      </c>
      <c r="YZ41" s="68">
        <f t="shared" si="2062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63"/>
        <v>200</v>
      </c>
      <c r="ZH41" s="68">
        <f t="shared" si="2064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65"/>
        <v>213</v>
      </c>
      <c r="ZP41" s="68">
        <f t="shared" si="2066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67"/>
        <v>953</v>
      </c>
      <c r="ZY41" s="70">
        <f t="shared" si="2068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69"/>
        <v>0</v>
      </c>
      <c r="AAH41" s="68">
        <f t="shared" si="2070"/>
        <v>0</v>
      </c>
      <c r="AAI41" s="48"/>
      <c r="AAJ41" s="49"/>
      <c r="AAK41" s="49"/>
      <c r="AAL41" s="49"/>
      <c r="AAM41" s="49"/>
      <c r="AAN41" s="49"/>
      <c r="AAO41" s="67">
        <f t="shared" si="2071"/>
        <v>0</v>
      </c>
      <c r="AAP41" s="68">
        <f t="shared" si="2072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73"/>
        <v>505</v>
      </c>
      <c r="AAX41" s="68">
        <f t="shared" si="2074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75"/>
        <v>1161</v>
      </c>
      <c r="ABF41" s="68">
        <f t="shared" si="2076"/>
        <v>193.5</v>
      </c>
      <c r="ABG41" s="48"/>
      <c r="ABH41" s="49"/>
      <c r="ABI41" s="49"/>
      <c r="ABJ41" s="49"/>
      <c r="ABK41" s="49"/>
      <c r="ABL41" s="49"/>
      <c r="ABM41" s="67">
        <f t="shared" si="2077"/>
        <v>0</v>
      </c>
      <c r="ABN41" s="68">
        <f t="shared" si="2078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79"/>
        <v>100</v>
      </c>
      <c r="ABV41" s="68">
        <f t="shared" si="2080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81"/>
        <v>402</v>
      </c>
      <c r="ACD41" s="68">
        <f t="shared" si="2082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83"/>
        <v>820</v>
      </c>
      <c r="ACL41" s="68">
        <f t="shared" si="2084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85"/>
        <v>121</v>
      </c>
      <c r="ACT41" s="68">
        <f t="shared" si="2086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87"/>
        <v>790</v>
      </c>
      <c r="ADB41" s="68">
        <f t="shared" si="2088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89"/>
        <v>420</v>
      </c>
      <c r="ADJ41" s="68">
        <f t="shared" si="2090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91"/>
        <v>615</v>
      </c>
      <c r="ADR41" s="68">
        <f t="shared" si="2092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93"/>
        <v>316</v>
      </c>
      <c r="ADZ41" s="68">
        <f t="shared" si="2094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95"/>
        <v>189</v>
      </c>
      <c r="AEH41" s="68">
        <f t="shared" si="2096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97"/>
        <v>199</v>
      </c>
      <c r="AEP41" s="68">
        <f t="shared" si="2098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99"/>
        <v>549</v>
      </c>
      <c r="AEX41" s="68">
        <f t="shared" si="2100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101"/>
        <v>327</v>
      </c>
      <c r="AFF41" s="68">
        <f t="shared" si="2102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103"/>
        <v>416</v>
      </c>
      <c r="AFN41" s="68">
        <f t="shared" si="2104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105"/>
        <v>283</v>
      </c>
      <c r="AFV41" s="68">
        <f t="shared" si="2106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107"/>
        <v>720</v>
      </c>
      <c r="AGD41" s="68">
        <f t="shared" si="2108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109"/>
        <v>347</v>
      </c>
      <c r="AGL41" s="68">
        <f t="shared" si="2110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111"/>
        <v>0</v>
      </c>
      <c r="AGU41" s="68">
        <f t="shared" si="2112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13"/>
        <v>308</v>
      </c>
      <c r="AHC41" s="68">
        <f t="shared" si="2114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15"/>
        <v>329</v>
      </c>
      <c r="AHK41" s="68">
        <f t="shared" si="2116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17"/>
        <v>206</v>
      </c>
      <c r="AHS41" s="68">
        <f t="shared" si="2118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19"/>
        <v>520</v>
      </c>
      <c r="AIA41" s="68">
        <f t="shared" si="2120"/>
        <v>17.931034482758619</v>
      </c>
      <c r="AIB41" s="48"/>
      <c r="AIC41" s="49"/>
      <c r="AID41" s="49"/>
      <c r="AIE41" s="49"/>
      <c r="AIF41" s="49"/>
      <c r="AIG41" s="49"/>
      <c r="AIH41" s="67">
        <f t="shared" si="2121"/>
        <v>0</v>
      </c>
      <c r="AII41" s="68">
        <f t="shared" si="2122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23"/>
        <v>416</v>
      </c>
      <c r="AIQ41" s="68">
        <f t="shared" si="2124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25"/>
        <v>438</v>
      </c>
      <c r="AIY41" s="68">
        <f t="shared" si="2126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27"/>
        <v>328</v>
      </c>
      <c r="AJG41" s="68">
        <f t="shared" si="2128"/>
        <v>11.310344827586206</v>
      </c>
      <c r="AJH41" s="48"/>
      <c r="AJI41" s="49"/>
      <c r="AJJ41" s="49"/>
      <c r="AJK41" s="49"/>
      <c r="AJL41" s="49"/>
      <c r="AJM41" s="49"/>
      <c r="AJN41" s="42">
        <f t="shared" si="2129"/>
        <v>0</v>
      </c>
      <c r="AJO41" s="43">
        <f t="shared" si="2130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31"/>
        <v>330</v>
      </c>
      <c r="AJW41" s="43">
        <f t="shared" si="2132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33"/>
        <v>335</v>
      </c>
      <c r="AKE41" s="68">
        <f t="shared" si="2134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35"/>
        <v>438</v>
      </c>
      <c r="AKM41" s="184">
        <f t="shared" si="2136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37"/>
        <v>200</v>
      </c>
      <c r="AKU41" s="184">
        <f t="shared" si="2138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39"/>
        <v>219</v>
      </c>
      <c r="ALC41" s="68">
        <f t="shared" si="2140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41"/>
        <v>480</v>
      </c>
      <c r="ALK41" s="68">
        <f t="shared" si="2142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43"/>
        <v>319</v>
      </c>
      <c r="ALS41" s="68">
        <f t="shared" si="2144"/>
        <v>53.166666666666664</v>
      </c>
      <c r="ALT41" s="48"/>
      <c r="ALU41" s="49"/>
      <c r="ALV41" s="49"/>
      <c r="ALW41" s="49"/>
      <c r="ALX41" s="49"/>
      <c r="ALY41" s="49"/>
      <c r="ALZ41" s="67">
        <f t="shared" si="2145"/>
        <v>0</v>
      </c>
      <c r="AMA41" s="68">
        <f t="shared" si="2146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47"/>
        <v>545</v>
      </c>
      <c r="AMI41" s="68">
        <f t="shared" si="2148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49"/>
        <v>333</v>
      </c>
      <c r="AMQ41" s="68">
        <f t="shared" si="2150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51"/>
        <v>214</v>
      </c>
      <c r="AMY41" s="68">
        <f t="shared" si="2152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53"/>
        <v>391</v>
      </c>
      <c r="ANG41" s="68">
        <f t="shared" si="2154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55"/>
        <v>239</v>
      </c>
      <c r="ANO41" s="68">
        <f t="shared" si="2156"/>
        <v>39.833333333333336</v>
      </c>
      <c r="ANP41" s="48"/>
      <c r="ANQ41" s="49"/>
      <c r="ANR41" s="49"/>
      <c r="ANS41" s="49"/>
      <c r="ANT41" s="49"/>
      <c r="ANU41" s="49"/>
      <c r="ANV41" s="67">
        <f t="shared" si="2157"/>
        <v>0</v>
      </c>
      <c r="ANW41" s="68">
        <f t="shared" si="2158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59"/>
        <v>195</v>
      </c>
      <c r="AOE41" s="68">
        <f t="shared" si="2160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61"/>
        <v>106</v>
      </c>
      <c r="AOM41" s="68">
        <f t="shared" si="2162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63"/>
        <v>445</v>
      </c>
      <c r="AOU41" s="68">
        <f t="shared" si="2164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65"/>
        <v>428</v>
      </c>
      <c r="APC41" s="68">
        <f t="shared" si="2166"/>
        <v>71.333333333333329</v>
      </c>
      <c r="APD41" s="48"/>
      <c r="APE41" s="49"/>
      <c r="APF41" s="49"/>
      <c r="APG41" s="49"/>
      <c r="APH41" s="49"/>
      <c r="API41" s="49"/>
      <c r="APJ41" s="67">
        <f t="shared" si="2167"/>
        <v>0</v>
      </c>
      <c r="APK41" s="68">
        <f t="shared" si="2168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69"/>
        <v>200</v>
      </c>
      <c r="APS41" s="68">
        <f t="shared" si="2170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71"/>
        <v>445</v>
      </c>
      <c r="AQA41" s="68">
        <f t="shared" si="2172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73"/>
        <v>232</v>
      </c>
      <c r="AQI41" s="68">
        <f t="shared" si="2174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75"/>
        <v>305</v>
      </c>
      <c r="AQQ41" s="68">
        <f t="shared" si="2176"/>
        <v>50.833333333333336</v>
      </c>
      <c r="AQR41" s="48"/>
      <c r="AQS41" s="49"/>
      <c r="AQT41" s="49"/>
      <c r="AQU41" s="49"/>
      <c r="AQV41" s="49"/>
      <c r="AQW41" s="49"/>
      <c r="AQX41" s="67">
        <f t="shared" si="2177"/>
        <v>0</v>
      </c>
      <c r="AQY41" s="68">
        <f t="shared" si="2178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79"/>
        <v>330</v>
      </c>
      <c r="ARG41" s="68">
        <f t="shared" si="2180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81"/>
        <v>218</v>
      </c>
      <c r="ARO41" s="68">
        <f t="shared" si="2182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83"/>
        <v>329</v>
      </c>
      <c r="ARW41" s="68">
        <f t="shared" si="2184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85"/>
        <v>225</v>
      </c>
      <c r="ASE41" s="68">
        <f t="shared" si="2186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87"/>
        <v>221</v>
      </c>
      <c r="ASM41" s="68">
        <f t="shared" si="2188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89"/>
        <v>221</v>
      </c>
      <c r="ASU41" s="68">
        <f t="shared" si="2190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91"/>
        <v>221</v>
      </c>
      <c r="ATC41" s="68">
        <f t="shared" si="2192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93"/>
        <v>219</v>
      </c>
      <c r="ATK41" s="68">
        <f t="shared" si="2194"/>
        <v>36.5</v>
      </c>
      <c r="ATL41" s="48"/>
      <c r="ATM41" s="49"/>
      <c r="ATN41" s="49"/>
      <c r="ATO41" s="49"/>
      <c r="ATP41" s="49"/>
      <c r="ATQ41" s="49"/>
      <c r="ATR41" s="67">
        <f t="shared" si="2195"/>
        <v>0</v>
      </c>
      <c r="ATS41" s="68">
        <f t="shared" si="2196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97"/>
        <v>302</v>
      </c>
      <c r="AUA41" s="68">
        <f t="shared" si="2198"/>
        <v>50.333333333333336</v>
      </c>
      <c r="AUB41" s="48"/>
      <c r="AUC41" s="49"/>
      <c r="AUD41" s="49"/>
      <c r="AUE41" s="49"/>
      <c r="AUF41" s="49"/>
      <c r="AUG41" s="49"/>
      <c r="AUH41" s="67">
        <f t="shared" si="2199"/>
        <v>0</v>
      </c>
      <c r="AUI41" s="68">
        <f t="shared" si="2200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201"/>
        <v>220</v>
      </c>
      <c r="AUQ41" s="68">
        <f t="shared" si="2202"/>
        <v>36.666666666666664</v>
      </c>
      <c r="AUR41" s="48"/>
      <c r="AUS41" s="49"/>
      <c r="AUT41" s="49"/>
      <c r="AUU41" s="49"/>
      <c r="AUV41" s="49"/>
      <c r="AUW41" s="49"/>
      <c r="AUX41" s="67">
        <f t="shared" si="2203"/>
        <v>0</v>
      </c>
      <c r="AUY41" s="68">
        <f t="shared" si="2204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205"/>
        <v>93</v>
      </c>
      <c r="AVG41" s="68">
        <f t="shared" si="2206"/>
        <v>15.5</v>
      </c>
      <c r="AVH41" s="48"/>
      <c r="AVI41" s="49"/>
      <c r="AVJ41" s="49"/>
      <c r="AVK41" s="49"/>
      <c r="AVL41" s="49"/>
      <c r="AVM41" s="49"/>
      <c r="AVN41" s="67">
        <f t="shared" si="2207"/>
        <v>0</v>
      </c>
      <c r="AVO41" s="68">
        <f t="shared" si="2208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209"/>
        <v>110</v>
      </c>
      <c r="AVW41" s="68">
        <f t="shared" si="2210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211"/>
        <v>232</v>
      </c>
      <c r="AWE41" s="68">
        <f t="shared" si="2212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13"/>
        <v>218</v>
      </c>
      <c r="AWM41" s="184">
        <f t="shared" si="2214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15"/>
        <v>309</v>
      </c>
      <c r="AWU41" s="43">
        <f t="shared" si="2216"/>
        <v>51.5</v>
      </c>
      <c r="AWV41" s="48"/>
      <c r="AWW41" s="49"/>
      <c r="AWX41" s="49"/>
      <c r="AWY41" s="49"/>
      <c r="AWZ41" s="49"/>
      <c r="AXA41" s="49"/>
      <c r="AXB41" s="42">
        <f t="shared" si="2217"/>
        <v>0</v>
      </c>
      <c r="AXC41" s="43">
        <f t="shared" si="2218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19"/>
        <v>220</v>
      </c>
      <c r="AXK41" s="43">
        <f t="shared" si="2220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21"/>
        <v>111</v>
      </c>
      <c r="AXS41" s="43">
        <f t="shared" si="2222"/>
        <v>18.5</v>
      </c>
      <c r="AXT41" s="48"/>
      <c r="AXU41" s="49"/>
      <c r="AXV41" s="49"/>
      <c r="AXW41" s="49"/>
      <c r="AXX41" s="49"/>
      <c r="AXY41" s="49"/>
      <c r="AXZ41" s="42">
        <f t="shared" si="2223"/>
        <v>0</v>
      </c>
      <c r="AYA41" s="43">
        <f t="shared" si="2224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25"/>
        <v>220</v>
      </c>
      <c r="AYI41" s="43">
        <f t="shared" si="2226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27"/>
        <v>215</v>
      </c>
      <c r="AYQ41" s="43">
        <f t="shared" si="2228"/>
        <v>35.833333333333336</v>
      </c>
      <c r="AYR41" s="48"/>
      <c r="AYS41" s="49"/>
      <c r="AYT41" s="49"/>
      <c r="AYU41" s="49"/>
      <c r="AYV41" s="49"/>
      <c r="AYW41" s="49"/>
      <c r="AYX41" s="42">
        <f t="shared" si="2229"/>
        <v>0</v>
      </c>
      <c r="AYY41" s="43">
        <f t="shared" si="2230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31"/>
        <v>219</v>
      </c>
      <c r="AZG41" s="43">
        <f t="shared" si="2232"/>
        <v>36.5</v>
      </c>
      <c r="AZH41" s="48"/>
      <c r="AZI41" s="49"/>
      <c r="AZJ41" s="49"/>
      <c r="AZK41" s="49"/>
      <c r="AZL41" s="49"/>
      <c r="AZM41" s="49"/>
      <c r="AZN41" s="42">
        <f t="shared" si="2233"/>
        <v>0</v>
      </c>
      <c r="AZO41" s="43">
        <f t="shared" si="2234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35"/>
        <v>220</v>
      </c>
      <c r="AZW41" s="43">
        <f t="shared" si="2236"/>
        <v>36.666666666666664</v>
      </c>
      <c r="AZX41" s="82"/>
      <c r="AZY41" s="83"/>
      <c r="AZZ41" s="83"/>
      <c r="BAA41" s="83"/>
      <c r="BAB41" s="83"/>
      <c r="BAC41" s="83"/>
      <c r="BAD41" s="42">
        <f t="shared" si="2237"/>
        <v>0</v>
      </c>
      <c r="BAE41" s="43">
        <f t="shared" si="2238"/>
        <v>0</v>
      </c>
      <c r="BAF41" s="48"/>
      <c r="BAG41" s="49"/>
      <c r="BAH41" s="49"/>
      <c r="BAI41" s="49"/>
      <c r="BAJ41" s="49"/>
      <c r="BAK41" s="49"/>
      <c r="BAL41" s="42">
        <f t="shared" si="2239"/>
        <v>0</v>
      </c>
      <c r="BAM41" s="43">
        <f t="shared" si="2240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41"/>
        <v>220</v>
      </c>
      <c r="BAU41" s="43">
        <f t="shared" si="2242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43"/>
        <v>122</v>
      </c>
      <c r="BBC41" s="43">
        <f t="shared" si="2244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45"/>
        <v>110</v>
      </c>
      <c r="BBK41" s="43">
        <f t="shared" si="2246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47"/>
        <v>214</v>
      </c>
      <c r="BBS41" s="43">
        <f t="shared" si="2248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49"/>
        <v>200</v>
      </c>
      <c r="BCA41" s="43">
        <f t="shared" si="2250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51"/>
        <v>220</v>
      </c>
      <c r="BCI41" s="43">
        <f t="shared" si="2252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53"/>
        <v>220</v>
      </c>
      <c r="BCQ41" s="43">
        <f t="shared" si="2254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55"/>
        <v>220</v>
      </c>
      <c r="BCY41" s="43">
        <f t="shared" si="2256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57"/>
        <v>110</v>
      </c>
      <c r="BDG41" s="43">
        <f t="shared" si="2258"/>
        <v>18.333333333333332</v>
      </c>
      <c r="BDH41" s="48"/>
      <c r="BDI41" s="49"/>
      <c r="BDJ41" s="49"/>
      <c r="BDK41" s="49"/>
      <c r="BDL41" s="49"/>
      <c r="BDM41" s="49"/>
      <c r="BDN41" s="42">
        <f t="shared" si="2259"/>
        <v>0</v>
      </c>
      <c r="BDO41" s="43">
        <f t="shared" si="2260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61"/>
        <v>225</v>
      </c>
      <c r="BDW41" s="43">
        <f t="shared" si="2262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63"/>
        <v>110</v>
      </c>
      <c r="BEE41" s="43">
        <f t="shared" si="2264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65"/>
        <v>219</v>
      </c>
      <c r="BEM41" s="43">
        <f t="shared" si="2266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67"/>
        <v>120</v>
      </c>
      <c r="BEU41" s="43">
        <f t="shared" si="2268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69"/>
        <v>219</v>
      </c>
      <c r="BFC41" s="43">
        <f t="shared" si="2270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71"/>
        <v>204</v>
      </c>
      <c r="BFK41" s="43">
        <f t="shared" si="2272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73"/>
        <v>324</v>
      </c>
      <c r="BFS41" s="43">
        <f t="shared" si="2274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75"/>
        <v>110</v>
      </c>
      <c r="BGA41" s="43">
        <f t="shared" si="2276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77"/>
        <v>111</v>
      </c>
      <c r="BGI41" s="43">
        <f t="shared" si="2278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79"/>
        <v>213</v>
      </c>
      <c r="BGQ41" s="43">
        <f t="shared" si="2280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81"/>
        <v>220</v>
      </c>
      <c r="BGY41" s="43">
        <f t="shared" si="2282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83"/>
        <v>244</v>
      </c>
      <c r="BHG41" s="43">
        <f t="shared" si="2284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85"/>
        <v>109</v>
      </c>
      <c r="BHO41" s="43">
        <f t="shared" si="2286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87"/>
        <v>235</v>
      </c>
      <c r="BHW41" s="43">
        <f t="shared" si="2288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89"/>
        <v>421</v>
      </c>
      <c r="BIE41" s="43">
        <f t="shared" si="2290"/>
        <v>70.166666666666671</v>
      </c>
      <c r="BIF41" s="48"/>
      <c r="BIG41" s="49"/>
      <c r="BIH41" s="49"/>
      <c r="BII41" s="49"/>
      <c r="BIJ41" s="49"/>
      <c r="BIK41" s="49"/>
      <c r="BIL41" s="42">
        <f t="shared" si="2291"/>
        <v>0</v>
      </c>
      <c r="BIM41" s="43">
        <f t="shared" si="2292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93"/>
        <v>219</v>
      </c>
      <c r="BIU41" s="101">
        <f t="shared" si="2294"/>
        <v>36.5</v>
      </c>
      <c r="BIV41" s="195"/>
      <c r="BIW41" s="49"/>
      <c r="BIX41" s="49"/>
      <c r="BIY41" s="49"/>
      <c r="BIZ41" s="49"/>
      <c r="BJA41" s="49"/>
      <c r="BJB41" s="42">
        <f t="shared" si="2295"/>
        <v>0</v>
      </c>
      <c r="BJC41" s="101">
        <f t="shared" si="2296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97"/>
        <v>330</v>
      </c>
      <c r="BJK41" s="43">
        <f t="shared" si="2298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99"/>
        <v>200</v>
      </c>
      <c r="BJS41" s="43">
        <f t="shared" si="2300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301"/>
        <v>220</v>
      </c>
      <c r="BKA41" s="43">
        <f t="shared" si="2302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303"/>
        <v>98</v>
      </c>
      <c r="BKI41" s="68">
        <f t="shared" si="2304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305"/>
        <v>328</v>
      </c>
      <c r="BKQ41" s="43">
        <f t="shared" si="2306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307"/>
        <v>221</v>
      </c>
      <c r="BKY41" s="43">
        <f t="shared" si="2308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309"/>
        <v>220</v>
      </c>
      <c r="BLG41" s="43">
        <f t="shared" si="2310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311"/>
        <v>215</v>
      </c>
      <c r="BLO41" s="43">
        <f t="shared" si="2312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13"/>
        <v>330</v>
      </c>
      <c r="BLW41" s="43">
        <f t="shared" si="2314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15"/>
        <v>331</v>
      </c>
      <c r="BME41" s="43">
        <f t="shared" si="2316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17"/>
        <v>218</v>
      </c>
      <c r="BMM41" s="43">
        <f t="shared" si="2318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19"/>
        <v>220</v>
      </c>
      <c r="BMU41" s="43">
        <f t="shared" si="2320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21"/>
        <v>220</v>
      </c>
      <c r="BNC41" s="43">
        <f t="shared" si="2322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23"/>
        <v>439</v>
      </c>
      <c r="BNK41" s="43">
        <f t="shared" si="2324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25"/>
        <v>108</v>
      </c>
      <c r="BNS41" s="43">
        <f t="shared" si="2326"/>
        <v>18</v>
      </c>
      <c r="BNT41" s="48"/>
      <c r="BNU41" s="49"/>
      <c r="BNV41" s="49"/>
      <c r="BNW41" s="49"/>
      <c r="BNX41" s="49"/>
      <c r="BNY41" s="49"/>
      <c r="BNZ41" s="42">
        <f t="shared" si="2327"/>
        <v>0</v>
      </c>
      <c r="BOA41" s="43">
        <f t="shared" si="2328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29"/>
        <v>413</v>
      </c>
      <c r="BOI41" s="43">
        <f t="shared" si="2330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31"/>
        <v>210</v>
      </c>
      <c r="BOQ41" s="43">
        <f t="shared" si="2332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33"/>
        <v>440</v>
      </c>
      <c r="BOY41" s="43">
        <f t="shared" si="2334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35"/>
        <v>110</v>
      </c>
      <c r="BPG41" s="43">
        <f t="shared" si="2336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37"/>
        <v>328</v>
      </c>
      <c r="BPO41" s="43">
        <f t="shared" si="2338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39"/>
        <v>200</v>
      </c>
      <c r="BPW41" s="43">
        <f t="shared" si="2340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41"/>
        <v>566</v>
      </c>
      <c r="BQE41" s="43">
        <f t="shared" si="2342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43"/>
        <v>310</v>
      </c>
      <c r="BQM41" s="43">
        <f t="shared" si="2344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45"/>
        <v>220</v>
      </c>
      <c r="BQU41" s="43">
        <f t="shared" si="2346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47"/>
        <v>220</v>
      </c>
      <c r="BRC41" s="43">
        <f t="shared" si="2348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49"/>
        <v>439</v>
      </c>
      <c r="BRK41" s="43">
        <f t="shared" si="2350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51"/>
        <v>547</v>
      </c>
      <c r="BRS41" s="68">
        <f t="shared" si="2352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53"/>
        <v>222</v>
      </c>
      <c r="BSA41" s="43">
        <f t="shared" si="2354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55"/>
        <v>99</v>
      </c>
      <c r="BSI41" s="43">
        <f t="shared" si="2356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57"/>
        <v>110</v>
      </c>
      <c r="BSQ41" s="43">
        <f t="shared" si="2358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59"/>
        <v>383</v>
      </c>
      <c r="BSY41" s="43">
        <f t="shared" si="2360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61"/>
        <v>330</v>
      </c>
      <c r="BTG41" s="43">
        <f t="shared" si="2362"/>
        <v>55</v>
      </c>
      <c r="BTH41" s="48"/>
      <c r="BTI41" s="49"/>
      <c r="BTJ41" s="49"/>
      <c r="BTK41" s="49"/>
      <c r="BTL41" s="49"/>
      <c r="BTM41" s="49"/>
      <c r="BTN41" s="67">
        <f t="shared" si="2363"/>
        <v>0</v>
      </c>
      <c r="BTO41" s="68">
        <f t="shared" si="2364"/>
        <v>0</v>
      </c>
      <c r="BTP41" s="48"/>
      <c r="BTQ41" s="49"/>
      <c r="BTR41" s="49"/>
      <c r="BTS41" s="49"/>
      <c r="BTT41" s="49"/>
      <c r="BTU41" s="49"/>
      <c r="BTV41" s="67">
        <f t="shared" si="2365"/>
        <v>0</v>
      </c>
      <c r="BTW41" s="43">
        <f t="shared" si="2366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67"/>
        <v>110</v>
      </c>
      <c r="BUE41" s="68">
        <f t="shared" si="2368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69"/>
        <v>660</v>
      </c>
      <c r="BUM41" s="68">
        <f t="shared" si="2370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71"/>
        <v>332</v>
      </c>
      <c r="BUU41" s="68">
        <f t="shared" si="2372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73"/>
        <v>110</v>
      </c>
      <c r="BVC41" s="68">
        <f t="shared" si="2374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75"/>
        <v>426</v>
      </c>
      <c r="BVK41" s="68">
        <f t="shared" si="2376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77"/>
        <v>214</v>
      </c>
      <c r="BVS41" s="68">
        <f t="shared" si="2378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79"/>
        <v>440</v>
      </c>
      <c r="BWA41" s="68">
        <f t="shared" si="2380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81"/>
        <v>466</v>
      </c>
      <c r="BWI41" s="68">
        <f t="shared" si="2382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83"/>
        <v>438</v>
      </c>
      <c r="BWQ41" s="68">
        <f t="shared" si="2384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85"/>
        <v>220</v>
      </c>
      <c r="BWY41" s="68">
        <f t="shared" si="2386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87"/>
        <v>334</v>
      </c>
      <c r="BXG41" s="68">
        <f t="shared" si="2388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89"/>
        <v>662</v>
      </c>
      <c r="BXO41" s="68">
        <f t="shared" si="2390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91"/>
        <v>522</v>
      </c>
      <c r="BXW41" s="68">
        <f t="shared" si="1596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92"/>
        <v>332</v>
      </c>
      <c r="BYE41" s="68">
        <f t="shared" si="2393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94"/>
        <v>521</v>
      </c>
      <c r="BYM41" s="68">
        <f t="shared" si="2395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96"/>
        <v>401</v>
      </c>
      <c r="BYU41" s="68">
        <f t="shared" si="2397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98"/>
        <v>404</v>
      </c>
      <c r="BZC41" s="68">
        <f t="shared" si="2399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400"/>
        <v>778</v>
      </c>
      <c r="BZK41" s="68">
        <f t="shared" si="2401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402"/>
        <v>333</v>
      </c>
      <c r="BZS41" s="68">
        <f t="shared" si="2403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404"/>
        <v>306</v>
      </c>
      <c r="CAA41" s="68">
        <f t="shared" si="2405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406"/>
        <v>440</v>
      </c>
      <c r="CAI41" s="68">
        <f t="shared" si="2407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408"/>
        <v>325</v>
      </c>
      <c r="CAQ41" s="68">
        <f t="shared" si="2409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410"/>
        <v>290</v>
      </c>
      <c r="CAY41" s="68">
        <f t="shared" si="2411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12"/>
        <v>432</v>
      </c>
      <c r="CBG41" s="68">
        <f t="shared" si="2413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14"/>
        <v>328</v>
      </c>
      <c r="CBO41" s="68">
        <f t="shared" si="2415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16"/>
        <v>244</v>
      </c>
      <c r="CBW41" s="68">
        <f t="shared" si="2417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18"/>
        <v>333</v>
      </c>
      <c r="CCE41" s="68">
        <f t="shared" si="2419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20"/>
        <v>111</v>
      </c>
      <c r="CCM41" s="68">
        <f t="shared" si="2421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22"/>
        <v>219</v>
      </c>
      <c r="CCU41" s="68">
        <f t="shared" si="2423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41"/>
        <v>589</v>
      </c>
      <c r="CDC41" s="68">
        <f t="shared" si="1642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43"/>
        <v>700</v>
      </c>
      <c r="CDK41" s="68">
        <f t="shared" si="1644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45"/>
        <v>600</v>
      </c>
      <c r="CDS41" s="68">
        <f t="shared" si="1646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47"/>
        <v>921</v>
      </c>
      <c r="CEA41" s="68">
        <f t="shared" si="1648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49"/>
        <v>887</v>
      </c>
      <c r="CEI41" s="68">
        <f t="shared" si="1650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51"/>
        <v>1014</v>
      </c>
      <c r="CEQ41" s="68">
        <f t="shared" si="1652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53"/>
        <v>1360</v>
      </c>
      <c r="CEY41" s="68">
        <f t="shared" si="1654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55"/>
        <v>1212</v>
      </c>
      <c r="CFG41" s="68">
        <f t="shared" si="1656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57"/>
        <v>442</v>
      </c>
      <c r="CFO41" s="68">
        <f t="shared" si="1658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59"/>
        <v>1343</v>
      </c>
      <c r="CFW41" s="68">
        <f t="shared" si="1660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61"/>
        <v>433</v>
      </c>
      <c r="CGE41" s="68">
        <f t="shared" si="1662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63"/>
        <v>1298</v>
      </c>
      <c r="CGM41" s="68">
        <f t="shared" si="1664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65"/>
        <v>226</v>
      </c>
      <c r="CGU41" s="68">
        <f t="shared" si="1666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67"/>
        <v>775</v>
      </c>
      <c r="CHC41" s="68">
        <f t="shared" si="1668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69"/>
        <v>1455</v>
      </c>
      <c r="CHK41" s="68">
        <f t="shared" si="1670"/>
        <v>242.5</v>
      </c>
      <c r="CHL41" s="48"/>
      <c r="CHM41" s="49"/>
      <c r="CHN41" s="49"/>
      <c r="CHO41" s="49"/>
      <c r="CHP41" s="49"/>
      <c r="CHQ41" s="49"/>
      <c r="CHR41" s="67">
        <f t="shared" si="1671"/>
        <v>0</v>
      </c>
      <c r="CHS41" s="68">
        <f t="shared" si="1672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73"/>
        <v>1522</v>
      </c>
      <c r="CIA41" s="68">
        <f t="shared" si="1674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75"/>
        <v>1398</v>
      </c>
      <c r="CII41" s="68">
        <f t="shared" si="1676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77"/>
        <v>444</v>
      </c>
      <c r="CIQ41" s="68">
        <f t="shared" si="1678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79"/>
        <v>440</v>
      </c>
      <c r="CIY41" s="68">
        <f t="shared" si="1680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81"/>
        <v>863</v>
      </c>
      <c r="CJG41" s="68">
        <f t="shared" si="1682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83"/>
        <v>757</v>
      </c>
      <c r="CJO41" s="184">
        <f t="shared" si="1684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85"/>
        <v>873</v>
      </c>
      <c r="CJW41" s="68">
        <f t="shared" si="1686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24"/>
        <v>1043</v>
      </c>
      <c r="CKE41" s="68">
        <f t="shared" si="1687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88"/>
        <v>1337</v>
      </c>
      <c r="CKM41" s="68">
        <f t="shared" si="1689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90"/>
        <v>640</v>
      </c>
      <c r="CKU41" s="68">
        <f t="shared" si="1691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92"/>
        <v>1769</v>
      </c>
      <c r="CLC41" s="68">
        <f t="shared" si="1693"/>
        <v>294.83333333333331</v>
      </c>
      <c r="CLD41" s="48"/>
      <c r="CLE41" s="49"/>
      <c r="CLF41" s="49"/>
      <c r="CLG41" s="49"/>
      <c r="CLH41" s="49"/>
      <c r="CLI41" s="49"/>
      <c r="CLJ41" s="67">
        <f t="shared" si="1694"/>
        <v>0</v>
      </c>
      <c r="CLK41" s="68">
        <f t="shared" si="1695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96"/>
        <v>1495</v>
      </c>
      <c r="CLS41" s="68">
        <f t="shared" si="1697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98"/>
        <v>1276</v>
      </c>
      <c r="CMA41" s="68">
        <f t="shared" si="1699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700"/>
        <v>800</v>
      </c>
      <c r="CMI41" s="68">
        <f t="shared" si="1701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702"/>
        <v>459</v>
      </c>
      <c r="CMQ41" s="68">
        <f t="shared" si="1703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704"/>
        <v>832</v>
      </c>
      <c r="CMY41" s="68">
        <f t="shared" si="1705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706"/>
        <v>1097</v>
      </c>
      <c r="CNG41" s="68">
        <f t="shared" si="1707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708"/>
        <v>1212</v>
      </c>
      <c r="CNO41" s="68">
        <f t="shared" si="1709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710"/>
        <v>1090</v>
      </c>
      <c r="CNW41" s="68">
        <f t="shared" si="1711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12"/>
        <v>796</v>
      </c>
      <c r="COE41" s="68">
        <f t="shared" si="1713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14"/>
        <v>960</v>
      </c>
      <c r="COM41" s="68">
        <f t="shared" si="1715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16"/>
        <v>1148</v>
      </c>
      <c r="COU41" s="68">
        <f t="shared" si="1717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18"/>
        <v>396</v>
      </c>
      <c r="CPC41" s="68">
        <f t="shared" si="1719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20"/>
        <v>880</v>
      </c>
      <c r="CPK41" s="68">
        <f t="shared" si="1721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22"/>
        <v>442</v>
      </c>
      <c r="CPS41" s="68">
        <f t="shared" si="1723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24"/>
        <v>643</v>
      </c>
      <c r="CQA41" s="68">
        <f t="shared" si="1725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26"/>
        <v>1501</v>
      </c>
      <c r="CQI41" s="68">
        <f t="shared" si="1727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28"/>
        <v>699</v>
      </c>
      <c r="CQQ41" s="68">
        <f t="shared" si="1729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30"/>
        <v>700</v>
      </c>
      <c r="CQY41" s="68">
        <f t="shared" si="1731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32"/>
        <v>620</v>
      </c>
      <c r="CRG41" s="68">
        <f t="shared" si="1733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34"/>
        <v>1786</v>
      </c>
      <c r="CRO41" s="68">
        <f t="shared" si="1735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36"/>
        <v>0</v>
      </c>
      <c r="CRW41" s="68">
        <f t="shared" si="1737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38"/>
        <v>1485</v>
      </c>
      <c r="CSE41" s="68">
        <f t="shared" si="1739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40"/>
        <v>0</v>
      </c>
      <c r="CSM41" s="68">
        <f t="shared" si="1741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42"/>
        <v>657</v>
      </c>
      <c r="CSU41" s="68">
        <f t="shared" si="1743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44"/>
        <v>671</v>
      </c>
      <c r="CTC41" s="68">
        <f t="shared" si="1745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46"/>
        <v>423</v>
      </c>
      <c r="CTK41" s="68">
        <f t="shared" si="1747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48"/>
        <v>800</v>
      </c>
      <c r="CTS41" s="68">
        <f t="shared" si="1749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50"/>
        <v>1442</v>
      </c>
      <c r="CUA41" s="68">
        <f t="shared" si="1751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52"/>
        <v>1301</v>
      </c>
      <c r="CUI41" s="68">
        <f t="shared" si="1753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54"/>
        <v>438</v>
      </c>
      <c r="CUQ41" s="68">
        <f t="shared" si="1755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56"/>
        <v>1111</v>
      </c>
      <c r="CUY41" s="68">
        <f t="shared" si="1757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58"/>
        <v>1720</v>
      </c>
      <c r="CVG41" s="68">
        <f t="shared" si="1759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60"/>
        <v>662</v>
      </c>
      <c r="CVO41" s="68">
        <f t="shared" si="1761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62"/>
        <v>1729</v>
      </c>
      <c r="CVW41" s="68">
        <f t="shared" si="1763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64"/>
        <v>1032</v>
      </c>
      <c r="CWE41" s="68">
        <f t="shared" si="1765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66"/>
        <v>800</v>
      </c>
      <c r="CWM41" s="68">
        <f t="shared" si="1767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68"/>
        <v>1446</v>
      </c>
      <c r="CWU41" s="68">
        <f t="shared" si="1769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70"/>
        <v>1388</v>
      </c>
      <c r="CXC41" s="43">
        <f t="shared" si="1771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72"/>
        <v>670</v>
      </c>
      <c r="CXK41" s="43">
        <f t="shared" si="1773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74"/>
        <v>439</v>
      </c>
      <c r="CXS41" s="43">
        <f t="shared" si="1775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76"/>
        <v>1499</v>
      </c>
      <c r="CYA41" s="43">
        <f t="shared" si="1777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78"/>
        <v>1351</v>
      </c>
      <c r="CYI41" s="43">
        <f t="shared" si="1779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80"/>
        <v>869</v>
      </c>
      <c r="CYQ41" s="43">
        <f t="shared" si="1781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82"/>
        <v>1004</v>
      </c>
      <c r="CYY41" s="43">
        <f t="shared" si="1783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84"/>
        <v>623</v>
      </c>
      <c r="CZG41" s="43">
        <f t="shared" si="1785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86"/>
        <v>1091</v>
      </c>
      <c r="CZO41" s="43">
        <f t="shared" si="1787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88"/>
        <v>0</v>
      </c>
      <c r="CZW41" s="43">
        <f t="shared" si="1789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90"/>
        <v>660</v>
      </c>
      <c r="DAE41" s="68">
        <f t="shared" si="1791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92"/>
        <v>660</v>
      </c>
      <c r="DAM41" s="68">
        <f t="shared" si="1793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94"/>
        <v>821</v>
      </c>
      <c r="DAU41" s="68">
        <f t="shared" si="1795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96"/>
        <v>1116</v>
      </c>
      <c r="DBC41" s="68">
        <f t="shared" si="1797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98"/>
        <v>1255</v>
      </c>
      <c r="DBK41" s="68">
        <f t="shared" si="1799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800"/>
        <v>792</v>
      </c>
      <c r="DBS41" s="68">
        <f t="shared" si="1801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802"/>
        <v>484</v>
      </c>
      <c r="DCA41" s="68">
        <f t="shared" si="1803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804"/>
        <v>825</v>
      </c>
      <c r="DCI41" s="68">
        <f t="shared" si="1805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806"/>
        <v>1299</v>
      </c>
      <c r="DCQ41" s="68">
        <f t="shared" si="1807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808"/>
        <v>882</v>
      </c>
      <c r="DCY41" s="68">
        <f t="shared" si="1809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810"/>
        <v>879</v>
      </c>
      <c r="DDG41" s="68">
        <f t="shared" si="1811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12"/>
        <v>1183</v>
      </c>
      <c r="DDO41" s="43">
        <f t="shared" si="1813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14"/>
        <v>590</v>
      </c>
      <c r="DDW41" s="43">
        <f t="shared" si="1815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16"/>
        <v>1214</v>
      </c>
      <c r="DEE41" s="43">
        <f t="shared" si="1817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18"/>
        <v>664</v>
      </c>
      <c r="DEM41" s="43">
        <f t="shared" si="1819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20"/>
        <v>634</v>
      </c>
      <c r="DEU41" s="43">
        <f t="shared" si="1821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22"/>
        <v>1505</v>
      </c>
      <c r="DFC41" s="43">
        <f t="shared" si="1823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24"/>
        <v>805</v>
      </c>
      <c r="DFK41" s="43">
        <f t="shared" si="1825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26"/>
        <v>980</v>
      </c>
      <c r="DFS41" s="68">
        <f t="shared" si="1827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28"/>
        <v>640</v>
      </c>
      <c r="DGA41" s="43">
        <f t="shared" si="1829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30"/>
        <v>1006</v>
      </c>
      <c r="DGI41" s="43">
        <f t="shared" si="1831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32"/>
        <v>782</v>
      </c>
      <c r="DGQ41" s="68">
        <f t="shared" si="1833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34"/>
        <v>1236</v>
      </c>
      <c r="DGY41" s="68">
        <f t="shared" si="1835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36"/>
        <v>1269</v>
      </c>
      <c r="DHG41" s="68">
        <f t="shared" si="1837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38"/>
        <v>1177</v>
      </c>
      <c r="DHO41" s="68">
        <f t="shared" si="1839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40"/>
        <v>433</v>
      </c>
      <c r="DHW41" s="68">
        <f t="shared" si="1841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42"/>
        <v>1385</v>
      </c>
      <c r="DIE41" s="68">
        <f t="shared" si="1843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44"/>
        <v>1352</v>
      </c>
      <c r="DIM41" s="68">
        <f t="shared" si="1845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46"/>
        <v>624</v>
      </c>
      <c r="DIU41" s="68">
        <f t="shared" si="1847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48"/>
        <v>1568</v>
      </c>
      <c r="DJC41" s="68">
        <f t="shared" si="1849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50"/>
        <v>921</v>
      </c>
      <c r="DJK41" s="68">
        <f t="shared" si="1851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52"/>
        <v>1763</v>
      </c>
      <c r="DJS41" s="68">
        <f t="shared" si="1853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54"/>
        <v>342</v>
      </c>
      <c r="DKA41" s="68">
        <f t="shared" si="1855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56"/>
        <v>2269</v>
      </c>
      <c r="DKI41" s="68">
        <f t="shared" si="1857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58"/>
        <v>1123</v>
      </c>
      <c r="DKQ41" s="68">
        <f t="shared" si="1859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60"/>
        <v>1634</v>
      </c>
      <c r="DKY41" s="68">
        <f t="shared" si="1861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62"/>
        <v>451</v>
      </c>
      <c r="DLG41" s="68">
        <f t="shared" si="1863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64"/>
        <v>905</v>
      </c>
      <c r="DLO41" s="68">
        <f t="shared" si="1865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66"/>
        <v>3027</v>
      </c>
      <c r="DLW41" s="68">
        <f t="shared" si="1867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68"/>
        <v>1817</v>
      </c>
      <c r="DME41" s="68">
        <f t="shared" si="1869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70"/>
        <v>812</v>
      </c>
      <c r="DMM41" s="68">
        <f t="shared" si="1871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72"/>
        <v>1055</v>
      </c>
      <c r="DMU41" s="68">
        <f t="shared" si="1873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74"/>
        <v>1750</v>
      </c>
      <c r="DNC41" s="68">
        <f t="shared" si="1875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76"/>
        <v>1070</v>
      </c>
      <c r="DNK41" s="68">
        <f t="shared" si="1877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78"/>
        <v>1868</v>
      </c>
      <c r="DNS41" s="68">
        <f t="shared" si="1879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80"/>
        <v>661</v>
      </c>
      <c r="DOA41" s="68">
        <f t="shared" si="1881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82"/>
        <v>1721</v>
      </c>
      <c r="DOI41" s="68">
        <f t="shared" si="1883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84"/>
        <v>1565</v>
      </c>
      <c r="DOQ41" s="68">
        <f t="shared" si="1885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86"/>
        <v>1498</v>
      </c>
      <c r="DOY41" s="68">
        <f t="shared" si="1887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88"/>
        <v>329</v>
      </c>
      <c r="DPG41" s="68">
        <f t="shared" si="1889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90"/>
        <v>1314</v>
      </c>
      <c r="DPO41" s="68">
        <f t="shared" si="1891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92"/>
        <v>878</v>
      </c>
      <c r="DPW41" s="492">
        <f t="shared" si="1893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94"/>
        <v>1358</v>
      </c>
      <c r="DQE41" s="492">
        <f t="shared" si="1895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96"/>
        <v>1645</v>
      </c>
      <c r="DQM41" s="492">
        <f t="shared" si="1897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98"/>
        <v>878</v>
      </c>
      <c r="DQU41" s="68">
        <f t="shared" si="1899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900"/>
        <v>1170</v>
      </c>
      <c r="DRC41" s="492">
        <f t="shared" si="1901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902"/>
        <v>1260</v>
      </c>
      <c r="DRK41" s="492">
        <f t="shared" si="1903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99"/>
        <v>0</v>
      </c>
      <c r="DRS41" s="68">
        <f t="shared" si="1600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601"/>
        <v>2477</v>
      </c>
      <c r="DSA41" s="68">
        <f t="shared" si="1602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603"/>
        <v>443</v>
      </c>
      <c r="DSI41" s="68">
        <f t="shared" si="1604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605"/>
        <v>1124</v>
      </c>
      <c r="DSQ41" s="68">
        <f t="shared" si="1606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607"/>
        <v>739</v>
      </c>
      <c r="DSY41" s="68">
        <f t="shared" si="1608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609"/>
        <v>1645</v>
      </c>
      <c r="DTG41" s="68">
        <f t="shared" si="1610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611"/>
        <v>2315</v>
      </c>
      <c r="DTO41" s="68">
        <f t="shared" si="1612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13"/>
        <v>800</v>
      </c>
      <c r="DTW41" s="68">
        <f t="shared" si="1614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15"/>
        <v>1165</v>
      </c>
      <c r="DUE41" s="68">
        <f t="shared" si="1616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17"/>
        <v>1247</v>
      </c>
      <c r="DUM41" s="68">
        <f t="shared" si="1618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19"/>
        <v>618</v>
      </c>
      <c r="DUU41" s="68">
        <f t="shared" si="1620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21"/>
        <v>1001</v>
      </c>
      <c r="DVC41" s="68">
        <f t="shared" si="1622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23"/>
        <v>2202</v>
      </c>
      <c r="DVK41" s="68">
        <f t="shared" si="1624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25"/>
        <v>660</v>
      </c>
      <c r="DVS41" s="68">
        <f t="shared" si="1626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27"/>
        <v>1442</v>
      </c>
      <c r="DWA41" s="68">
        <f t="shared" si="1628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29"/>
        <v>0</v>
      </c>
      <c r="DWI41" s="68">
        <f t="shared" si="1630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31"/>
        <v>1041</v>
      </c>
      <c r="DWQ41" s="68">
        <f t="shared" si="1632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33"/>
        <v>0</v>
      </c>
      <c r="DWY41" s="68">
        <f t="shared" si="1634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35"/>
        <v>1200</v>
      </c>
      <c r="DXG41" s="68">
        <f t="shared" si="1636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37"/>
        <v>492</v>
      </c>
      <c r="DXO41" s="68">
        <f t="shared" si="1638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8"/>
        <v>1266</v>
      </c>
      <c r="DXW41" s="68">
        <f t="shared" si="1329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30"/>
        <v>1348</v>
      </c>
      <c r="DYE41" s="68">
        <f t="shared" si="1331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32"/>
        <v>600</v>
      </c>
      <c r="DYM41" s="68">
        <f t="shared" si="1333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34"/>
        <v>600</v>
      </c>
      <c r="DYU41" s="68">
        <f t="shared" si="1335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36"/>
        <v>634</v>
      </c>
      <c r="DZC41" s="68">
        <f t="shared" si="1337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8"/>
        <v>751</v>
      </c>
      <c r="DZK41" s="68">
        <f t="shared" si="1339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40"/>
        <v>1976</v>
      </c>
      <c r="DZS41" s="68">
        <f t="shared" si="1341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42"/>
        <v>1002</v>
      </c>
      <c r="EAA41" s="68">
        <f t="shared" si="1343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44"/>
        <v>216</v>
      </c>
      <c r="EAI41" s="68">
        <f t="shared" si="1345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46"/>
        <v>800</v>
      </c>
      <c r="EAQ41" s="68">
        <f t="shared" si="1347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8"/>
        <v>1484</v>
      </c>
      <c r="EAY41" s="68">
        <f t="shared" si="1349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50"/>
        <v>1200</v>
      </c>
      <c r="EBG41" s="68">
        <f t="shared" si="1351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52"/>
        <v>1030</v>
      </c>
      <c r="EBO41" s="68">
        <f t="shared" si="1353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54"/>
        <v>0</v>
      </c>
      <c r="EBW41" s="68">
        <f t="shared" si="1355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56"/>
        <v>939</v>
      </c>
      <c r="ECE41" s="68">
        <f t="shared" si="1357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8"/>
        <v>1073</v>
      </c>
      <c r="ECM41" s="68">
        <f t="shared" si="1359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60"/>
        <v>1422</v>
      </c>
      <c r="ECU41" s="68">
        <f t="shared" si="1361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62"/>
        <v>1120</v>
      </c>
      <c r="EDC41" s="68">
        <f t="shared" si="1363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64"/>
        <v>600</v>
      </c>
      <c r="EDK41" s="68">
        <f t="shared" si="1365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66"/>
        <v>619</v>
      </c>
      <c r="EDS41" s="68">
        <f t="shared" si="1367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8"/>
        <v>1934</v>
      </c>
      <c r="EEA41" s="68">
        <f t="shared" si="1369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70"/>
        <v>0</v>
      </c>
      <c r="EEI41" s="68">
        <f t="shared" si="1371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72"/>
        <v>1000</v>
      </c>
      <c r="EEQ41" s="68">
        <f t="shared" si="1373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74"/>
        <v>1022</v>
      </c>
      <c r="EEY41" s="68">
        <f t="shared" si="1375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76"/>
        <v>1158</v>
      </c>
      <c r="EFG41" s="68">
        <f t="shared" si="1377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8"/>
        <v>961</v>
      </c>
      <c r="EFO41" s="68">
        <f t="shared" si="1379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80"/>
        <v>607</v>
      </c>
      <c r="EFW41" s="68">
        <f t="shared" si="1381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82"/>
        <v>1905</v>
      </c>
      <c r="EGE41" s="68">
        <f t="shared" si="1383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84"/>
        <v>754</v>
      </c>
      <c r="EGM41" s="68">
        <f t="shared" si="1385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86"/>
        <v>1322</v>
      </c>
      <c r="EGU41" s="68">
        <f t="shared" si="1387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8"/>
        <v>565</v>
      </c>
      <c r="EHC41" s="68">
        <f t="shared" si="1389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90"/>
        <v>575</v>
      </c>
      <c r="EHK41" s="68">
        <f t="shared" si="1391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92"/>
        <v>215</v>
      </c>
      <c r="EHS41" s="68">
        <f t="shared" si="1393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94"/>
        <v>917</v>
      </c>
      <c r="EIA41" s="68">
        <f t="shared" si="1395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96"/>
        <v>1672</v>
      </c>
      <c r="EII41" s="68">
        <f t="shared" si="1397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8"/>
        <v>620</v>
      </c>
      <c r="EIQ41" s="68">
        <f t="shared" si="1399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400"/>
        <v>814</v>
      </c>
      <c r="EIY41" s="68">
        <f t="shared" si="1401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402"/>
        <v>305</v>
      </c>
      <c r="EJG41" s="68">
        <f t="shared" si="1403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404"/>
        <v>559</v>
      </c>
      <c r="EJO41" s="68">
        <f t="shared" si="1405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406"/>
        <v>1035</v>
      </c>
      <c r="EJW41" s="68">
        <f t="shared" si="1407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8"/>
        <v>245</v>
      </c>
      <c r="EKE41" s="68">
        <f t="shared" si="1409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10"/>
        <v>1287</v>
      </c>
      <c r="EKM41" s="68">
        <f t="shared" si="1411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12"/>
        <v>704</v>
      </c>
      <c r="EKU41" s="184">
        <f t="shared" si="1413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14"/>
        <v>734</v>
      </c>
      <c r="ELD41" s="211">
        <f t="shared" si="1415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16"/>
        <v>1179</v>
      </c>
      <c r="ELL41" s="211">
        <f t="shared" si="1417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8"/>
        <v>746</v>
      </c>
      <c r="ELT41" s="211">
        <f t="shared" si="1419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20"/>
        <v>598</v>
      </c>
      <c r="EMB41" s="211">
        <f t="shared" si="1421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22"/>
        <v>913</v>
      </c>
      <c r="EMJ41" s="211">
        <f t="shared" si="1423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4"/>
        <v>1507</v>
      </c>
      <c r="EMR41" s="211">
        <f t="shared" si="1425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6"/>
        <v>223</v>
      </c>
      <c r="EMZ41" s="211">
        <f t="shared" si="1427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8"/>
        <v>1072</v>
      </c>
      <c r="ENH41" s="211">
        <f t="shared" si="1429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30"/>
        <v>829</v>
      </c>
      <c r="ENP41" s="211">
        <f t="shared" si="1431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32"/>
        <v>0</v>
      </c>
      <c r="ENX41" s="211">
        <f t="shared" si="1433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34"/>
        <v>1224</v>
      </c>
      <c r="EOF41" s="211">
        <f t="shared" si="1435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36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37"/>
        <v>807</v>
      </c>
      <c r="EOV41" s="211">
        <f t="shared" si="1438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9"/>
        <v>220</v>
      </c>
      <c r="EPD41" s="211">
        <f t="shared" si="1440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41"/>
        <v>1819</v>
      </c>
      <c r="EPL41" s="211">
        <f t="shared" si="1442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43"/>
        <v>1067</v>
      </c>
      <c r="EPT41" s="211">
        <f t="shared" si="1444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45"/>
        <v>417</v>
      </c>
      <c r="EQB41" s="211">
        <f t="shared" si="1446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7"/>
        <v>659</v>
      </c>
      <c r="EQJ41" s="211">
        <f t="shared" si="1448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9"/>
        <v>330</v>
      </c>
      <c r="EQR41" s="211">
        <f t="shared" si="1450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51"/>
        <v>816</v>
      </c>
      <c r="EQZ41" s="211">
        <f t="shared" si="1452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53"/>
        <v>334</v>
      </c>
      <c r="ERH41" s="211">
        <f t="shared" si="1454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55"/>
        <v>841</v>
      </c>
      <c r="ERP41" s="211">
        <f t="shared" si="1456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57"/>
        <v>893</v>
      </c>
      <c r="ERX41" s="211">
        <f t="shared" si="1458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9"/>
        <v>832</v>
      </c>
      <c r="ESF41" s="211">
        <f t="shared" si="1460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61"/>
        <v>0</v>
      </c>
      <c r="ESN41" s="211">
        <f t="shared" si="1462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63"/>
        <v>220</v>
      </c>
      <c r="ESV41" s="211">
        <f t="shared" si="1464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65"/>
        <v>584</v>
      </c>
      <c r="ETD41" s="211">
        <f t="shared" si="1466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7"/>
        <v>0</v>
      </c>
      <c r="ETL41" s="211">
        <f t="shared" si="1468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9"/>
        <v>480</v>
      </c>
      <c r="ETT41" s="211">
        <f t="shared" si="1470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71"/>
        <v>1432</v>
      </c>
      <c r="EUB41" s="211">
        <f t="shared" si="1472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73"/>
        <v>639</v>
      </c>
      <c r="EUJ41" s="211">
        <f t="shared" si="1474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75"/>
        <v>348</v>
      </c>
      <c r="EUR41" s="211">
        <f t="shared" si="1476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77"/>
        <v>995</v>
      </c>
      <c r="EUZ41" s="211">
        <f t="shared" si="1478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9"/>
        <v>0</v>
      </c>
      <c r="EVH41" s="211">
        <f t="shared" si="1480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81"/>
        <v>572</v>
      </c>
      <c r="EVP41" s="211">
        <f t="shared" si="1482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83"/>
        <v>0</v>
      </c>
      <c r="EVX41" s="211">
        <f t="shared" si="1484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85"/>
        <v>1110</v>
      </c>
      <c r="EWF41" s="211">
        <f t="shared" si="1486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7"/>
        <v>300</v>
      </c>
      <c r="EWN41" s="211">
        <f t="shared" si="1488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9"/>
        <v>1708</v>
      </c>
      <c r="EWV41" s="211">
        <f t="shared" si="1490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91"/>
        <v>0</v>
      </c>
      <c r="EXD41" s="211">
        <f t="shared" si="1492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93"/>
        <v>694</v>
      </c>
      <c r="EXL41" s="211">
        <f t="shared" si="1494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95"/>
        <v>2009</v>
      </c>
      <c r="EXT41" s="211">
        <f t="shared" si="1496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97"/>
        <v>1297</v>
      </c>
      <c r="EYB41" s="211">
        <f t="shared" si="1498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9"/>
        <v>1747</v>
      </c>
      <c r="EYJ41" s="211">
        <f t="shared" si="1500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501"/>
        <v>2162</v>
      </c>
      <c r="EYR41" s="211">
        <f t="shared" si="1502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503"/>
        <v>203</v>
      </c>
      <c r="EYZ41" s="873">
        <f t="shared" si="1504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5"/>
        <v>1504</v>
      </c>
      <c r="EZH41" s="873">
        <f t="shared" si="1506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>
        <v>498</v>
      </c>
      <c r="EZO41" s="872">
        <f t="shared" si="1507"/>
        <v>1518</v>
      </c>
      <c r="EZP41" s="873">
        <f t="shared" si="1508"/>
        <v>253</v>
      </c>
      <c r="EZQ41" s="458">
        <v>0</v>
      </c>
      <c r="EZR41" s="83"/>
      <c r="EZS41" s="83">
        <v>202</v>
      </c>
      <c r="EZT41" s="83">
        <v>0</v>
      </c>
      <c r="EZU41" s="83">
        <v>0</v>
      </c>
      <c r="EZV41" s="83">
        <v>0</v>
      </c>
      <c r="EZW41" s="872">
        <f t="shared" si="1509"/>
        <v>202</v>
      </c>
      <c r="EZX41" s="873">
        <f t="shared" si="1510"/>
        <v>33.666666666666664</v>
      </c>
      <c r="EZY41" s="195">
        <v>0</v>
      </c>
      <c r="EZZ41" s="49">
        <v>0</v>
      </c>
      <c r="FAA41" s="49"/>
      <c r="FAB41" s="49"/>
      <c r="FAC41" s="49"/>
      <c r="FAD41" s="49"/>
      <c r="FAE41" s="872">
        <f t="shared" si="1511"/>
        <v>0</v>
      </c>
      <c r="FAF41" s="873">
        <f t="shared" si="1512"/>
        <v>0</v>
      </c>
    </row>
    <row r="42" spans="1:4088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6"/>
        <v>0</v>
      </c>
      <c r="L42" s="24">
        <f t="shared" si="1517"/>
        <v>982</v>
      </c>
      <c r="M42" s="15">
        <f t="shared" si="1639"/>
        <v>982</v>
      </c>
      <c r="N42" s="15">
        <v>0</v>
      </c>
      <c r="O42" s="276">
        <f t="shared" si="1229"/>
        <v>0</v>
      </c>
      <c r="P42" s="712">
        <v>0</v>
      </c>
      <c r="Q42" s="276">
        <f t="shared" si="1518"/>
        <v>0</v>
      </c>
      <c r="R42" s="277">
        <f t="shared" si="1519"/>
        <v>15.384615384615385</v>
      </c>
      <c r="S42" s="222">
        <v>400</v>
      </c>
      <c r="T42" s="276">
        <f t="shared" si="1640"/>
        <v>63.83</v>
      </c>
      <c r="U42" s="278"/>
      <c r="V42" s="276">
        <f t="shared" si="1233"/>
        <v>63.83</v>
      </c>
      <c r="W42" s="279">
        <f t="shared" si="1234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904"/>
        <v>201</v>
      </c>
      <c r="AK42" s="43">
        <f t="shared" si="1905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906"/>
        <v>635</v>
      </c>
      <c r="AS42" s="43">
        <f t="shared" si="1907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908"/>
        <v>98</v>
      </c>
      <c r="BA42" s="43">
        <f t="shared" si="1909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910"/>
        <v>400</v>
      </c>
      <c r="BI42" s="43">
        <f t="shared" si="1911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12"/>
        <v>812</v>
      </c>
      <c r="BQ42" s="43">
        <f t="shared" si="1913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14"/>
        <v>400</v>
      </c>
      <c r="BY42" s="43">
        <f t="shared" si="1915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16"/>
        <v>200</v>
      </c>
      <c r="CG42" s="43">
        <f t="shared" si="1917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18"/>
        <v>200</v>
      </c>
      <c r="CO42" s="43">
        <f t="shared" si="1919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20"/>
        <v>400</v>
      </c>
      <c r="CW42" s="43">
        <f t="shared" si="1921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22"/>
        <v>594</v>
      </c>
      <c r="DE42" s="43">
        <f t="shared" si="1923"/>
        <v>99</v>
      </c>
      <c r="DF42" s="48"/>
      <c r="DG42" s="49"/>
      <c r="DH42" s="49"/>
      <c r="DI42" s="49"/>
      <c r="DJ42" s="49"/>
      <c r="DK42" s="49"/>
      <c r="DL42" s="42">
        <f t="shared" si="1924"/>
        <v>0</v>
      </c>
      <c r="DM42" s="43">
        <f t="shared" si="1925"/>
        <v>0</v>
      </c>
      <c r="DN42" s="48"/>
      <c r="DO42" s="49">
        <v>597</v>
      </c>
      <c r="DP42" s="49"/>
      <c r="DQ42" s="49"/>
      <c r="DR42" s="49"/>
      <c r="DS42" s="49"/>
      <c r="DT42" s="42">
        <f t="shared" si="1926"/>
        <v>597</v>
      </c>
      <c r="DU42" s="43">
        <f t="shared" si="1927"/>
        <v>99.5</v>
      </c>
      <c r="DV42" s="48"/>
      <c r="DW42" s="49"/>
      <c r="DX42" s="49"/>
      <c r="DY42" s="49"/>
      <c r="DZ42" s="49"/>
      <c r="EA42" s="49"/>
      <c r="EB42" s="42">
        <f t="shared" si="1928"/>
        <v>0</v>
      </c>
      <c r="EC42" s="43">
        <f t="shared" si="1929"/>
        <v>0</v>
      </c>
      <c r="ED42" s="48"/>
      <c r="EE42" s="49"/>
      <c r="EF42" s="49"/>
      <c r="EG42" s="49">
        <v>400</v>
      </c>
      <c r="EH42" s="49"/>
      <c r="EI42" s="49"/>
      <c r="EJ42" s="42">
        <f t="shared" si="1930"/>
        <v>400</v>
      </c>
      <c r="EK42" s="43">
        <f t="shared" si="1931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32"/>
        <v>400</v>
      </c>
      <c r="ES42" s="43">
        <f t="shared" si="1933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34"/>
        <v>398</v>
      </c>
      <c r="FA42" s="43">
        <f t="shared" si="1935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36"/>
        <v>400</v>
      </c>
      <c r="FI42" s="43">
        <f t="shared" si="1937"/>
        <v>66.666666666666671</v>
      </c>
      <c r="FJ42" s="48"/>
      <c r="FK42" s="49"/>
      <c r="FL42" s="49"/>
      <c r="FM42" s="49"/>
      <c r="FN42" s="49"/>
      <c r="FO42" s="49"/>
      <c r="FP42" s="42">
        <f t="shared" si="1938"/>
        <v>0</v>
      </c>
      <c r="FQ42" s="43">
        <f t="shared" si="1939"/>
        <v>0</v>
      </c>
      <c r="FR42" s="48"/>
      <c r="FS42" s="49"/>
      <c r="FT42" s="49">
        <v>400</v>
      </c>
      <c r="FU42" s="49"/>
      <c r="FV42" s="49"/>
      <c r="FW42" s="49"/>
      <c r="FX42" s="42">
        <f t="shared" si="1940"/>
        <v>400</v>
      </c>
      <c r="FY42" s="43">
        <f t="shared" si="1941"/>
        <v>66.666666666666671</v>
      </c>
      <c r="FZ42" s="48"/>
      <c r="GA42" s="49"/>
      <c r="GB42" s="49"/>
      <c r="GC42" s="49"/>
      <c r="GD42" s="49"/>
      <c r="GE42" s="49"/>
      <c r="GF42" s="42">
        <f t="shared" si="1942"/>
        <v>0</v>
      </c>
      <c r="GG42" s="43">
        <f t="shared" si="1943"/>
        <v>0</v>
      </c>
      <c r="GH42" s="48">
        <v>399</v>
      </c>
      <c r="GI42" s="49"/>
      <c r="GJ42" s="49"/>
      <c r="GK42" s="49"/>
      <c r="GL42" s="49"/>
      <c r="GM42" s="49"/>
      <c r="GN42" s="42">
        <f t="shared" si="1944"/>
        <v>399</v>
      </c>
      <c r="GO42" s="43">
        <f t="shared" si="1945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46"/>
        <v>400</v>
      </c>
      <c r="GW42" s="43">
        <f t="shared" si="1947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48"/>
        <v>200</v>
      </c>
      <c r="HE42" s="43">
        <f t="shared" si="1949"/>
        <v>33.333333333333336</v>
      </c>
      <c r="HF42" s="48"/>
      <c r="HG42" s="49"/>
      <c r="HH42" s="49"/>
      <c r="HI42" s="49"/>
      <c r="HJ42" s="49"/>
      <c r="HK42" s="49"/>
      <c r="HL42" s="42">
        <f t="shared" si="1950"/>
        <v>0</v>
      </c>
      <c r="HM42" s="43">
        <f t="shared" si="1951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52"/>
        <v>389</v>
      </c>
      <c r="HU42" s="43">
        <f t="shared" si="1953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54"/>
        <v>82</v>
      </c>
      <c r="IC42" s="43">
        <f t="shared" si="1955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56"/>
        <v>395</v>
      </c>
      <c r="IK42" s="43">
        <f t="shared" si="1957"/>
        <v>65.833333333333329</v>
      </c>
      <c r="IL42" s="48"/>
      <c r="IM42" s="49"/>
      <c r="IN42" s="49"/>
      <c r="IO42" s="49"/>
      <c r="IP42" s="49"/>
      <c r="IQ42" s="49"/>
      <c r="IR42" s="67">
        <f t="shared" si="1958"/>
        <v>0</v>
      </c>
      <c r="IS42" s="68">
        <f t="shared" si="1959"/>
        <v>0</v>
      </c>
      <c r="IT42" s="48"/>
      <c r="IU42" s="49"/>
      <c r="IV42" s="49"/>
      <c r="IW42" s="49"/>
      <c r="IX42" s="49"/>
      <c r="IY42" s="49"/>
      <c r="IZ42" s="67">
        <f t="shared" si="1960"/>
        <v>0</v>
      </c>
      <c r="JA42" s="68">
        <f t="shared" si="1961"/>
        <v>0</v>
      </c>
      <c r="JB42" s="48"/>
      <c r="JC42" s="49"/>
      <c r="JD42" s="49"/>
      <c r="JE42" s="49">
        <v>400</v>
      </c>
      <c r="JF42" s="49"/>
      <c r="JG42" s="49"/>
      <c r="JH42" s="67">
        <f t="shared" si="1962"/>
        <v>400</v>
      </c>
      <c r="JI42" s="68">
        <f t="shared" si="1963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64"/>
        <v>418</v>
      </c>
      <c r="JQ42" s="43">
        <f t="shared" si="1965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66"/>
        <v>83</v>
      </c>
      <c r="JY42" s="43">
        <f t="shared" si="1967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68"/>
        <v>496</v>
      </c>
      <c r="KG42" s="43">
        <f t="shared" si="1969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70"/>
        <v>204</v>
      </c>
      <c r="KO42" s="68">
        <f t="shared" si="1971"/>
        <v>34</v>
      </c>
      <c r="KP42" s="48"/>
      <c r="KQ42" s="49"/>
      <c r="KR42" s="49"/>
      <c r="KS42" s="49"/>
      <c r="KT42" s="49"/>
      <c r="KU42" s="49">
        <v>300</v>
      </c>
      <c r="KV42" s="67">
        <f t="shared" si="1972"/>
        <v>300</v>
      </c>
      <c r="KW42" s="68">
        <f t="shared" si="1973"/>
        <v>50</v>
      </c>
      <c r="KX42" s="48"/>
      <c r="KY42" s="49"/>
      <c r="KZ42" s="49"/>
      <c r="LA42" s="49"/>
      <c r="LB42" s="49"/>
      <c r="LC42" s="49"/>
      <c r="LD42" s="67">
        <f t="shared" si="1974"/>
        <v>0</v>
      </c>
      <c r="LE42" s="68">
        <f t="shared" si="1975"/>
        <v>0</v>
      </c>
      <c r="LF42" s="48">
        <v>300</v>
      </c>
      <c r="LG42" s="49"/>
      <c r="LH42" s="49"/>
      <c r="LI42" s="49"/>
      <c r="LJ42" s="49"/>
      <c r="LK42" s="49"/>
      <c r="LL42" s="67">
        <f t="shared" si="1976"/>
        <v>300</v>
      </c>
      <c r="LM42" s="68">
        <f t="shared" si="1977"/>
        <v>50</v>
      </c>
      <c r="LN42" s="48"/>
      <c r="LO42" s="49">
        <v>186</v>
      </c>
      <c r="LP42" s="49"/>
      <c r="LQ42" s="49"/>
      <c r="LR42" s="49"/>
      <c r="LS42" s="49"/>
      <c r="LT42" s="67">
        <f t="shared" si="1978"/>
        <v>186</v>
      </c>
      <c r="LU42" s="68">
        <f t="shared" si="1979"/>
        <v>31</v>
      </c>
      <c r="LV42" s="48"/>
      <c r="LW42" s="49"/>
      <c r="LX42" s="49">
        <v>200</v>
      </c>
      <c r="LY42" s="49"/>
      <c r="LZ42" s="49"/>
      <c r="MA42" s="49"/>
      <c r="MB42" s="67">
        <f t="shared" si="1980"/>
        <v>200</v>
      </c>
      <c r="MC42" s="68">
        <f t="shared" si="1981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82"/>
        <v>99</v>
      </c>
      <c r="MK42" s="68">
        <f t="shared" si="1983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84"/>
        <v>200</v>
      </c>
      <c r="MS42" s="68">
        <f t="shared" si="1985"/>
        <v>33.333333333333336</v>
      </c>
      <c r="MT42" s="48"/>
      <c r="MU42" s="49"/>
      <c r="MV42" s="49"/>
      <c r="MW42" s="49"/>
      <c r="MX42" s="49"/>
      <c r="MY42" s="49"/>
      <c r="MZ42" s="67">
        <f t="shared" si="1986"/>
        <v>0</v>
      </c>
      <c r="NA42" s="68">
        <f t="shared" si="1987"/>
        <v>0</v>
      </c>
      <c r="NB42" s="48"/>
      <c r="NC42" s="49">
        <v>262</v>
      </c>
      <c r="ND42" s="49"/>
      <c r="NE42" s="49"/>
      <c r="NF42" s="49"/>
      <c r="NG42" s="49"/>
      <c r="NH42" s="67">
        <f t="shared" si="1988"/>
        <v>262</v>
      </c>
      <c r="NI42" s="68">
        <f t="shared" si="1989"/>
        <v>43.666666666666664</v>
      </c>
      <c r="NJ42" s="48"/>
      <c r="NK42" s="49"/>
      <c r="NL42" s="49"/>
      <c r="NM42" s="49"/>
      <c r="NN42" s="49"/>
      <c r="NO42" s="49"/>
      <c r="NP42" s="67">
        <f t="shared" si="1990"/>
        <v>0</v>
      </c>
      <c r="NQ42" s="68">
        <f t="shared" si="1991"/>
        <v>0</v>
      </c>
      <c r="NR42" s="48"/>
      <c r="NS42" s="49"/>
      <c r="NT42" s="49"/>
      <c r="NU42" s="49"/>
      <c r="NV42" s="49"/>
      <c r="NW42" s="49"/>
      <c r="NX42" s="67">
        <f t="shared" si="1992"/>
        <v>0</v>
      </c>
      <c r="NY42" s="68">
        <f t="shared" si="1993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94"/>
        <v>600</v>
      </c>
      <c r="OG42" s="68">
        <f t="shared" si="1995"/>
        <v>100</v>
      </c>
      <c r="OH42" s="48"/>
      <c r="OI42" s="49"/>
      <c r="OJ42" s="49"/>
      <c r="OK42" s="49"/>
      <c r="OL42" s="49">
        <v>196</v>
      </c>
      <c r="OM42" s="49"/>
      <c r="ON42" s="67">
        <f t="shared" si="1996"/>
        <v>196</v>
      </c>
      <c r="OO42" s="68">
        <f t="shared" si="1997"/>
        <v>32.666666666666664</v>
      </c>
      <c r="OP42" s="48"/>
      <c r="OQ42" s="49"/>
      <c r="OR42" s="49"/>
      <c r="OS42" s="49"/>
      <c r="OT42" s="49"/>
      <c r="OU42" s="49"/>
      <c r="OV42" s="67">
        <f t="shared" si="1998"/>
        <v>0</v>
      </c>
      <c r="OW42" s="68">
        <f t="shared" si="1999"/>
        <v>0</v>
      </c>
      <c r="OX42" s="48"/>
      <c r="OY42" s="49"/>
      <c r="OZ42" s="49"/>
      <c r="PA42" s="49"/>
      <c r="PB42" s="49"/>
      <c r="PC42" s="49"/>
      <c r="PD42" s="67">
        <f t="shared" si="2000"/>
        <v>0</v>
      </c>
      <c r="PE42" s="68">
        <f t="shared" si="2001"/>
        <v>0</v>
      </c>
      <c r="PF42" s="48">
        <v>200</v>
      </c>
      <c r="PG42" s="49"/>
      <c r="PH42" s="49"/>
      <c r="PI42" s="49"/>
      <c r="PJ42" s="49"/>
      <c r="PK42" s="49"/>
      <c r="PL42" s="67">
        <f t="shared" si="2002"/>
        <v>200</v>
      </c>
      <c r="PM42" s="68">
        <f t="shared" si="2003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2004"/>
        <v>254</v>
      </c>
      <c r="PU42" s="68">
        <f t="shared" si="2005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2006"/>
        <v>200</v>
      </c>
      <c r="QC42" s="105">
        <f t="shared" si="2007"/>
        <v>33.333333333333336</v>
      </c>
      <c r="QD42" s="106"/>
      <c r="QE42" s="107"/>
      <c r="QF42" s="107"/>
      <c r="QG42" s="107"/>
      <c r="QH42" s="107"/>
      <c r="QI42" s="107"/>
      <c r="QJ42" s="104">
        <f t="shared" si="2008"/>
        <v>0</v>
      </c>
      <c r="QK42" s="105">
        <f t="shared" si="2009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2010"/>
        <v>96</v>
      </c>
      <c r="QS42" s="105">
        <f t="shared" si="2011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12"/>
        <v>200</v>
      </c>
      <c r="RA42" s="105">
        <f t="shared" si="2013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14"/>
        <v>206</v>
      </c>
      <c r="RI42" s="105">
        <f t="shared" si="2015"/>
        <v>34.333333333333336</v>
      </c>
      <c r="RJ42" s="106"/>
      <c r="RK42" s="107"/>
      <c r="RL42" s="107"/>
      <c r="RM42" s="107"/>
      <c r="RN42" s="107"/>
      <c r="RO42" s="107"/>
      <c r="RP42" s="104">
        <f t="shared" si="2016"/>
        <v>0</v>
      </c>
      <c r="RQ42" s="105">
        <f t="shared" si="2017"/>
        <v>0</v>
      </c>
      <c r="RR42" s="106"/>
      <c r="RS42" s="107"/>
      <c r="RT42" s="107"/>
      <c r="RU42" s="107"/>
      <c r="RV42" s="107"/>
      <c r="RW42" s="107"/>
      <c r="RX42" s="104">
        <f t="shared" si="2018"/>
        <v>0</v>
      </c>
      <c r="RY42" s="105">
        <f t="shared" si="2019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20"/>
        <v>102</v>
      </c>
      <c r="SG42" s="105">
        <f t="shared" si="2021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22"/>
        <v>198</v>
      </c>
      <c r="SO42" s="105">
        <f t="shared" si="2023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24"/>
        <v>102</v>
      </c>
      <c r="SW42" s="105">
        <f t="shared" si="2025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26"/>
        <v>204</v>
      </c>
      <c r="TE42" s="105">
        <f t="shared" si="2027"/>
        <v>34</v>
      </c>
      <c r="TF42" s="106"/>
      <c r="TG42" s="107"/>
      <c r="TH42" s="107"/>
      <c r="TI42" s="107"/>
      <c r="TJ42" s="107"/>
      <c r="TK42" s="107"/>
      <c r="TL42" s="104">
        <f t="shared" si="2028"/>
        <v>0</v>
      </c>
      <c r="TM42" s="105">
        <f t="shared" si="2029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30"/>
        <v>201</v>
      </c>
      <c r="TU42" s="105">
        <f t="shared" si="2031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32"/>
        <v>211</v>
      </c>
      <c r="UC42" s="105">
        <f t="shared" si="2033"/>
        <v>35.166666666666664</v>
      </c>
      <c r="UD42" s="106"/>
      <c r="UE42" s="107"/>
      <c r="UF42" s="107"/>
      <c r="UG42" s="107"/>
      <c r="UH42" s="107"/>
      <c r="UI42" s="107"/>
      <c r="UJ42" s="104">
        <f t="shared" si="2034"/>
        <v>0</v>
      </c>
      <c r="UK42" s="105">
        <f t="shared" si="2035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91"/>
        <v>0</v>
      </c>
      <c r="UT42" s="105">
        <f t="shared" si="2036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37"/>
        <v>200</v>
      </c>
      <c r="VB42" s="105">
        <f t="shared" si="2038"/>
        <v>33.333333333333336</v>
      </c>
      <c r="VC42" s="106"/>
      <c r="VD42" s="107"/>
      <c r="VE42" s="107"/>
      <c r="VF42" s="107"/>
      <c r="VG42" s="107"/>
      <c r="VH42" s="107"/>
      <c r="VI42" s="104">
        <f t="shared" si="2039"/>
        <v>0</v>
      </c>
      <c r="VJ42" s="105">
        <f t="shared" si="2040"/>
        <v>0</v>
      </c>
      <c r="VK42" s="48"/>
      <c r="VL42" s="49"/>
      <c r="VM42" s="49"/>
      <c r="VN42" s="49">
        <v>225</v>
      </c>
      <c r="VO42" s="49"/>
      <c r="VP42" s="49"/>
      <c r="VQ42" s="67">
        <f t="shared" si="2041"/>
        <v>225</v>
      </c>
      <c r="VR42" s="68">
        <f t="shared" si="2042"/>
        <v>37.5</v>
      </c>
      <c r="VS42" s="106"/>
      <c r="VT42" s="107"/>
      <c r="VU42" s="107"/>
      <c r="VV42" s="107"/>
      <c r="VW42" s="107"/>
      <c r="VX42" s="107"/>
      <c r="VY42" s="104">
        <f t="shared" si="2043"/>
        <v>0</v>
      </c>
      <c r="VZ42" s="105">
        <f t="shared" si="2044"/>
        <v>0</v>
      </c>
      <c r="WA42" s="63"/>
      <c r="WB42" s="64"/>
      <c r="WC42" s="64"/>
      <c r="WD42" s="64"/>
      <c r="WE42" s="64"/>
      <c r="WF42" s="64"/>
      <c r="WG42" s="67">
        <f t="shared" si="2045"/>
        <v>0</v>
      </c>
      <c r="WH42" s="68">
        <f t="shared" si="2046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47"/>
        <v>201</v>
      </c>
      <c r="WP42" s="105">
        <f t="shared" si="2048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49"/>
        <v>225</v>
      </c>
      <c r="WY42" s="68">
        <f t="shared" si="2050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51"/>
        <v>268</v>
      </c>
      <c r="XH42" s="68">
        <f t="shared" si="2052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53"/>
        <v>201</v>
      </c>
      <c r="XQ42" s="68">
        <f t="shared" si="2054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55"/>
        <v>200</v>
      </c>
      <c r="XZ42" s="68">
        <f t="shared" si="2056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57"/>
        <v>167</v>
      </c>
      <c r="YI42" s="68">
        <f t="shared" si="2058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59"/>
        <v>208</v>
      </c>
      <c r="YR42" s="68">
        <f t="shared" si="2060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61"/>
        <v>300</v>
      </c>
      <c r="YZ42" s="68">
        <f t="shared" si="2062"/>
        <v>50</v>
      </c>
      <c r="ZA42" s="48"/>
      <c r="ZB42" s="49"/>
      <c r="ZC42" s="49"/>
      <c r="ZD42" s="49"/>
      <c r="ZE42" s="49"/>
      <c r="ZF42" s="49"/>
      <c r="ZG42" s="67">
        <f t="shared" si="2063"/>
        <v>0</v>
      </c>
      <c r="ZH42" s="68">
        <f t="shared" si="2064"/>
        <v>0</v>
      </c>
      <c r="ZI42" s="48"/>
      <c r="ZJ42" s="49"/>
      <c r="ZK42" s="49"/>
      <c r="ZL42" s="49"/>
      <c r="ZM42" s="49"/>
      <c r="ZN42" s="24"/>
      <c r="ZO42" s="67">
        <f t="shared" si="2065"/>
        <v>0</v>
      </c>
      <c r="ZP42" s="68">
        <f t="shared" si="2066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67"/>
        <v>200</v>
      </c>
      <c r="ZY42" s="70">
        <f t="shared" si="2068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69"/>
        <v>200</v>
      </c>
      <c r="AAH42" s="68">
        <f t="shared" si="2070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71"/>
        <v>200</v>
      </c>
      <c r="AAP42" s="68">
        <f t="shared" si="2072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73"/>
        <v>200</v>
      </c>
      <c r="AAX42" s="68">
        <f t="shared" si="2074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75"/>
        <v>200</v>
      </c>
      <c r="ABF42" s="68">
        <f t="shared" si="2076"/>
        <v>33.333333333333336</v>
      </c>
      <c r="ABG42" s="48"/>
      <c r="ABH42" s="49"/>
      <c r="ABI42" s="49"/>
      <c r="ABJ42" s="49"/>
      <c r="ABK42" s="49"/>
      <c r="ABL42" s="49"/>
      <c r="ABM42" s="67">
        <f t="shared" si="2077"/>
        <v>0</v>
      </c>
      <c r="ABN42" s="68">
        <f t="shared" si="2078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79"/>
        <v>304</v>
      </c>
      <c r="ABV42" s="68">
        <f t="shared" si="2080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81"/>
        <v>101</v>
      </c>
      <c r="ACD42" s="68">
        <f t="shared" si="2082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83"/>
        <v>300</v>
      </c>
      <c r="ACL42" s="68">
        <f t="shared" si="2084"/>
        <v>50</v>
      </c>
      <c r="ACM42" s="48"/>
      <c r="ACN42" s="49"/>
      <c r="ACO42" s="49"/>
      <c r="ACP42" s="49"/>
      <c r="ACQ42" s="49"/>
      <c r="ACR42" s="49"/>
      <c r="ACS42" s="67">
        <f t="shared" si="2085"/>
        <v>0</v>
      </c>
      <c r="ACT42" s="68">
        <f t="shared" si="2086"/>
        <v>0</v>
      </c>
      <c r="ACU42" s="48"/>
      <c r="ACV42" s="49"/>
      <c r="ACW42" s="49"/>
      <c r="ACX42" s="49"/>
      <c r="ACY42" s="49"/>
      <c r="ACZ42" s="49"/>
      <c r="ADA42" s="67">
        <f t="shared" si="2087"/>
        <v>0</v>
      </c>
      <c r="ADB42" s="68">
        <f t="shared" si="2088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89"/>
        <v>124</v>
      </c>
      <c r="ADJ42" s="68">
        <f t="shared" si="2090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91"/>
        <v>220</v>
      </c>
      <c r="ADR42" s="68">
        <f t="shared" si="2092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93"/>
        <v>220</v>
      </c>
      <c r="ADZ42" s="68">
        <f t="shared" si="2094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95"/>
        <v>199</v>
      </c>
      <c r="AEH42" s="68">
        <f t="shared" si="2096"/>
        <v>33.166666666666664</v>
      </c>
      <c r="AEI42" s="48"/>
      <c r="AEJ42" s="49"/>
      <c r="AEK42" s="49"/>
      <c r="AEL42" s="49"/>
      <c r="AEM42" s="49"/>
      <c r="AEN42" s="49"/>
      <c r="AEO42" s="67">
        <f t="shared" si="2097"/>
        <v>0</v>
      </c>
      <c r="AEP42" s="68">
        <f t="shared" si="2098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99"/>
        <v>110</v>
      </c>
      <c r="AEX42" s="68">
        <f t="shared" si="2100"/>
        <v>18.333333333333332</v>
      </c>
      <c r="AEY42" s="48"/>
      <c r="AEZ42" s="49"/>
      <c r="AFA42" s="49"/>
      <c r="AFB42" s="49"/>
      <c r="AFC42" s="49"/>
      <c r="AFD42" s="49"/>
      <c r="AFE42" s="67">
        <f t="shared" si="2101"/>
        <v>0</v>
      </c>
      <c r="AFF42" s="68">
        <f t="shared" si="2102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103"/>
        <v>220</v>
      </c>
      <c r="AFN42" s="68">
        <f t="shared" si="2104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105"/>
        <v>220</v>
      </c>
      <c r="AFV42" s="68">
        <f t="shared" si="2106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107"/>
        <v>217</v>
      </c>
      <c r="AGD42" s="68">
        <f t="shared" si="2108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109"/>
        <v>123</v>
      </c>
      <c r="AGL42" s="68">
        <f t="shared" si="2110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111"/>
        <v>0</v>
      </c>
      <c r="AGU42" s="68">
        <f t="shared" si="2112"/>
        <v>0</v>
      </c>
      <c r="AGV42" s="48"/>
      <c r="AGW42" s="49"/>
      <c r="AGX42" s="49"/>
      <c r="AGY42" s="49"/>
      <c r="AGZ42" s="49"/>
      <c r="AHA42" s="49"/>
      <c r="AHB42" s="67">
        <f t="shared" si="2113"/>
        <v>0</v>
      </c>
      <c r="AHC42" s="68">
        <f t="shared" si="2114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15"/>
        <v>110</v>
      </c>
      <c r="AHK42" s="68">
        <f t="shared" si="2116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17"/>
        <v>110</v>
      </c>
      <c r="AHS42" s="68">
        <f t="shared" si="2118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19"/>
        <v>220</v>
      </c>
      <c r="AIA42" s="68">
        <f t="shared" si="2120"/>
        <v>7.5862068965517242</v>
      </c>
      <c r="AIB42" s="48"/>
      <c r="AIC42" s="49"/>
      <c r="AID42" s="49"/>
      <c r="AIE42" s="49"/>
      <c r="AIF42" s="49"/>
      <c r="AIG42" s="49"/>
      <c r="AIH42" s="67">
        <f t="shared" si="2121"/>
        <v>0</v>
      </c>
      <c r="AII42" s="68">
        <f t="shared" si="2122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23"/>
        <v>111</v>
      </c>
      <c r="AIQ42" s="68">
        <f t="shared" si="2124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25"/>
        <v>110</v>
      </c>
      <c r="AIY42" s="68">
        <f t="shared" si="2126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27"/>
        <v>110</v>
      </c>
      <c r="AJG42" s="68">
        <f t="shared" si="2128"/>
        <v>3.7931034482758621</v>
      </c>
      <c r="AJH42" s="48"/>
      <c r="AJI42" s="49"/>
      <c r="AJJ42" s="49"/>
      <c r="AJK42" s="49"/>
      <c r="AJL42" s="49"/>
      <c r="AJM42" s="49"/>
      <c r="AJN42" s="42">
        <f t="shared" si="2129"/>
        <v>0</v>
      </c>
      <c r="AJO42" s="43">
        <f t="shared" si="2130"/>
        <v>0</v>
      </c>
      <c r="AJP42" s="48"/>
      <c r="AJQ42" s="49"/>
      <c r="AJR42" s="49"/>
      <c r="AJS42" s="49"/>
      <c r="AJT42" s="49"/>
      <c r="AJU42" s="49"/>
      <c r="AJV42" s="42">
        <f t="shared" si="2131"/>
        <v>0</v>
      </c>
      <c r="AJW42" s="43">
        <f t="shared" si="2132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33"/>
        <v>220</v>
      </c>
      <c r="AKE42" s="68">
        <f t="shared" si="2134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35"/>
        <v>110</v>
      </c>
      <c r="AKM42" s="184">
        <f t="shared" si="2136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37"/>
        <v>143</v>
      </c>
      <c r="AKU42" s="184">
        <f t="shared" si="2138"/>
        <v>23.833333333333332</v>
      </c>
      <c r="AKV42" s="48"/>
      <c r="AKW42" s="49"/>
      <c r="AKX42" s="49"/>
      <c r="AKY42" s="49"/>
      <c r="AKZ42" s="49"/>
      <c r="ALA42" s="49"/>
      <c r="ALB42" s="67">
        <f t="shared" si="2139"/>
        <v>0</v>
      </c>
      <c r="ALC42" s="68">
        <f t="shared" si="2140"/>
        <v>0</v>
      </c>
      <c r="ALD42" s="48"/>
      <c r="ALE42" s="49"/>
      <c r="ALF42" s="49"/>
      <c r="ALG42" s="49"/>
      <c r="ALH42" s="49"/>
      <c r="ALI42" s="49"/>
      <c r="ALJ42" s="67">
        <f t="shared" si="2141"/>
        <v>0</v>
      </c>
      <c r="ALK42" s="68">
        <f t="shared" si="2142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43"/>
        <v>110</v>
      </c>
      <c r="ALS42" s="68">
        <f t="shared" si="2144"/>
        <v>18.333333333333332</v>
      </c>
      <c r="ALT42" s="48"/>
      <c r="ALU42" s="49"/>
      <c r="ALV42" s="49"/>
      <c r="ALW42" s="49"/>
      <c r="ALX42" s="49"/>
      <c r="ALY42" s="49"/>
      <c r="ALZ42" s="67">
        <f t="shared" si="2145"/>
        <v>0</v>
      </c>
      <c r="AMA42" s="68">
        <f t="shared" si="2146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47"/>
        <v>110</v>
      </c>
      <c r="AMI42" s="68">
        <f t="shared" si="2148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49"/>
        <v>110</v>
      </c>
      <c r="AMQ42" s="68">
        <f t="shared" si="2150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51"/>
        <v>100</v>
      </c>
      <c r="AMY42" s="68">
        <f t="shared" si="2152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53"/>
        <v>111</v>
      </c>
      <c r="ANG42" s="68">
        <f t="shared" si="2154"/>
        <v>18.5</v>
      </c>
      <c r="ANH42" s="48"/>
      <c r="ANI42" s="49"/>
      <c r="ANJ42" s="49"/>
      <c r="ANK42" s="49"/>
      <c r="ANL42" s="49"/>
      <c r="ANM42" s="49"/>
      <c r="ANN42" s="67">
        <f t="shared" si="2155"/>
        <v>0</v>
      </c>
      <c r="ANO42" s="68">
        <f t="shared" si="2156"/>
        <v>0</v>
      </c>
      <c r="ANP42" s="48"/>
      <c r="ANQ42" s="49"/>
      <c r="ANR42" s="49"/>
      <c r="ANS42" s="49"/>
      <c r="ANT42" s="49"/>
      <c r="ANU42" s="49"/>
      <c r="ANV42" s="67">
        <f t="shared" si="2157"/>
        <v>0</v>
      </c>
      <c r="ANW42" s="68">
        <f t="shared" si="2158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59"/>
        <v>109</v>
      </c>
      <c r="AOE42" s="68">
        <f t="shared" si="2160"/>
        <v>18.166666666666668</v>
      </c>
      <c r="AOF42" s="48"/>
      <c r="AOG42" s="49"/>
      <c r="AOH42" s="49"/>
      <c r="AOI42" s="49"/>
      <c r="AOJ42" s="49"/>
      <c r="AOK42" s="49"/>
      <c r="AOL42" s="67">
        <f t="shared" si="2161"/>
        <v>0</v>
      </c>
      <c r="AOM42" s="68">
        <f t="shared" si="2162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63"/>
        <v>110</v>
      </c>
      <c r="AOU42" s="68">
        <f t="shared" si="2164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65"/>
        <v>110</v>
      </c>
      <c r="APC42" s="68">
        <f t="shared" si="2166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67"/>
        <v>110</v>
      </c>
      <c r="APK42" s="68">
        <f t="shared" si="2168"/>
        <v>18.333333333333332</v>
      </c>
      <c r="APL42" s="48"/>
      <c r="APM42" s="49"/>
      <c r="APN42" s="49"/>
      <c r="APO42" s="49"/>
      <c r="APP42" s="49"/>
      <c r="APQ42" s="49"/>
      <c r="APR42" s="67">
        <f t="shared" si="2169"/>
        <v>0</v>
      </c>
      <c r="APS42" s="68">
        <f t="shared" si="2170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71"/>
        <v>220</v>
      </c>
      <c r="AQA42" s="68">
        <f t="shared" si="2172"/>
        <v>36.666666666666664</v>
      </c>
      <c r="AQB42" s="48"/>
      <c r="AQC42" s="49"/>
      <c r="AQD42" s="49"/>
      <c r="AQE42" s="49"/>
      <c r="AQF42" s="49"/>
      <c r="AQG42" s="49"/>
      <c r="AQH42" s="67">
        <f t="shared" si="2173"/>
        <v>0</v>
      </c>
      <c r="AQI42" s="68">
        <f t="shared" si="2174"/>
        <v>0</v>
      </c>
      <c r="AQJ42" s="48"/>
      <c r="AQK42" s="49"/>
      <c r="AQL42" s="49"/>
      <c r="AQM42" s="49"/>
      <c r="AQN42" s="49"/>
      <c r="AQO42" s="49"/>
      <c r="AQP42" s="67">
        <f t="shared" si="2175"/>
        <v>0</v>
      </c>
      <c r="AQQ42" s="68">
        <f t="shared" si="2176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77"/>
        <v>219</v>
      </c>
      <c r="AQY42" s="68">
        <f t="shared" si="2178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79"/>
        <v>110</v>
      </c>
      <c r="ARG42" s="68">
        <f t="shared" si="2180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81"/>
        <v>219</v>
      </c>
      <c r="ARO42" s="68">
        <f t="shared" si="2182"/>
        <v>36.5</v>
      </c>
      <c r="ARP42" s="48"/>
      <c r="ARQ42" s="49"/>
      <c r="ARR42" s="49"/>
      <c r="ARS42" s="49"/>
      <c r="ART42" s="49"/>
      <c r="ARU42" s="49"/>
      <c r="ARV42" s="67">
        <f t="shared" si="2183"/>
        <v>0</v>
      </c>
      <c r="ARW42" s="68">
        <f t="shared" si="2184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85"/>
        <v>100</v>
      </c>
      <c r="ASE42" s="68">
        <f t="shared" si="2186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87"/>
        <v>110</v>
      </c>
      <c r="ASM42" s="68">
        <f t="shared" si="2188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89"/>
        <v>110</v>
      </c>
      <c r="ASU42" s="68">
        <f t="shared" si="2190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91"/>
        <v>108</v>
      </c>
      <c r="ATC42" s="68">
        <f t="shared" si="2192"/>
        <v>18</v>
      </c>
      <c r="ATD42" s="48"/>
      <c r="ATE42" s="49"/>
      <c r="ATF42" s="49"/>
      <c r="ATG42" s="49"/>
      <c r="ATH42" s="49"/>
      <c r="ATI42" s="49"/>
      <c r="ATJ42" s="67">
        <f t="shared" si="2193"/>
        <v>0</v>
      </c>
      <c r="ATK42" s="68">
        <f t="shared" si="2194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95"/>
        <v>110</v>
      </c>
      <c r="ATS42" s="68">
        <f t="shared" si="2196"/>
        <v>18.333333333333332</v>
      </c>
      <c r="ATT42" s="48"/>
      <c r="ATU42" s="49"/>
      <c r="ATV42" s="49"/>
      <c r="ATW42" s="49"/>
      <c r="ATX42" s="49"/>
      <c r="ATY42" s="49"/>
      <c r="ATZ42" s="67">
        <f t="shared" si="2197"/>
        <v>0</v>
      </c>
      <c r="AUA42" s="68">
        <f t="shared" si="2198"/>
        <v>0</v>
      </c>
      <c r="AUB42" s="48"/>
      <c r="AUC42" s="49"/>
      <c r="AUD42" s="49"/>
      <c r="AUE42" s="49"/>
      <c r="AUF42" s="49"/>
      <c r="AUG42" s="49"/>
      <c r="AUH42" s="67">
        <f t="shared" si="2199"/>
        <v>0</v>
      </c>
      <c r="AUI42" s="68">
        <f t="shared" si="2200"/>
        <v>0</v>
      </c>
      <c r="AUJ42" s="48"/>
      <c r="AUK42" s="49"/>
      <c r="AUL42" s="49"/>
      <c r="AUM42" s="49"/>
      <c r="AUN42" s="49"/>
      <c r="AUO42" s="49"/>
      <c r="AUP42" s="67">
        <f t="shared" si="2201"/>
        <v>0</v>
      </c>
      <c r="AUQ42" s="68">
        <f t="shared" si="2202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203"/>
        <v>110</v>
      </c>
      <c r="AUY42" s="68">
        <f t="shared" si="2204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205"/>
        <v>109</v>
      </c>
      <c r="AVG42" s="68">
        <f t="shared" si="2206"/>
        <v>18.166666666666668</v>
      </c>
      <c r="AVH42" s="48"/>
      <c r="AVI42" s="49"/>
      <c r="AVJ42" s="49"/>
      <c r="AVK42" s="49"/>
      <c r="AVL42" s="49"/>
      <c r="AVM42" s="49"/>
      <c r="AVN42" s="67">
        <f t="shared" si="2207"/>
        <v>0</v>
      </c>
      <c r="AVO42" s="68">
        <f t="shared" si="2208"/>
        <v>0</v>
      </c>
      <c r="AVP42" s="48"/>
      <c r="AVQ42" s="49"/>
      <c r="AVR42" s="49"/>
      <c r="AVS42" s="49"/>
      <c r="AVT42" s="49"/>
      <c r="AVU42" s="49"/>
      <c r="AVV42" s="67">
        <f t="shared" si="2209"/>
        <v>0</v>
      </c>
      <c r="AVW42" s="68">
        <f t="shared" si="2210"/>
        <v>0</v>
      </c>
      <c r="AVX42" s="48"/>
      <c r="AVY42" s="49"/>
      <c r="AVZ42" s="49"/>
      <c r="AWA42" s="49"/>
      <c r="AWB42" s="49"/>
      <c r="AWC42" s="49"/>
      <c r="AWD42" s="67">
        <f t="shared" si="2211"/>
        <v>0</v>
      </c>
      <c r="AWE42" s="68">
        <f t="shared" si="2212"/>
        <v>0</v>
      </c>
      <c r="AWF42" s="48"/>
      <c r="AWG42" s="49"/>
      <c r="AWH42" s="49"/>
      <c r="AWI42" s="49"/>
      <c r="AWJ42" s="49"/>
      <c r="AWK42" s="49"/>
      <c r="AWL42" s="67">
        <f t="shared" si="2213"/>
        <v>0</v>
      </c>
      <c r="AWM42" s="184">
        <f t="shared" si="2214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15"/>
        <v>110</v>
      </c>
      <c r="AWU42" s="43">
        <f t="shared" si="2216"/>
        <v>18.333333333333332</v>
      </c>
      <c r="AWV42" s="48"/>
      <c r="AWW42" s="49"/>
      <c r="AWX42" s="49"/>
      <c r="AWY42" s="49"/>
      <c r="AWZ42" s="49"/>
      <c r="AXA42" s="49"/>
      <c r="AXB42" s="42">
        <f t="shared" si="2217"/>
        <v>0</v>
      </c>
      <c r="AXC42" s="43">
        <f t="shared" si="2218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19"/>
        <v>107</v>
      </c>
      <c r="AXK42" s="43">
        <f t="shared" si="2220"/>
        <v>17.833333333333332</v>
      </c>
      <c r="AXL42" s="48"/>
      <c r="AXM42" s="49"/>
      <c r="AXN42" s="49"/>
      <c r="AXO42" s="49"/>
      <c r="AXP42" s="49"/>
      <c r="AXQ42" s="49"/>
      <c r="AXR42" s="42">
        <f t="shared" si="2221"/>
        <v>0</v>
      </c>
      <c r="AXS42" s="43">
        <f t="shared" si="2222"/>
        <v>0</v>
      </c>
      <c r="AXT42" s="48"/>
      <c r="AXU42" s="49"/>
      <c r="AXV42" s="49"/>
      <c r="AXW42" s="49"/>
      <c r="AXX42" s="49"/>
      <c r="AXY42" s="49"/>
      <c r="AXZ42" s="42">
        <f t="shared" si="2223"/>
        <v>0</v>
      </c>
      <c r="AYA42" s="43">
        <f t="shared" si="2224"/>
        <v>0</v>
      </c>
      <c r="AYB42" s="48"/>
      <c r="AYC42" s="49"/>
      <c r="AYD42" s="49"/>
      <c r="AYE42" s="49"/>
      <c r="AYF42" s="49"/>
      <c r="AYG42" s="49"/>
      <c r="AYH42" s="42">
        <f t="shared" si="2225"/>
        <v>0</v>
      </c>
      <c r="AYI42" s="43">
        <f t="shared" si="2226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27"/>
        <v>109</v>
      </c>
      <c r="AYQ42" s="43">
        <f t="shared" si="2228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29"/>
        <v>110</v>
      </c>
      <c r="AYY42" s="43">
        <f t="shared" si="2230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31"/>
        <v>110</v>
      </c>
      <c r="AZG42" s="43">
        <f t="shared" si="2232"/>
        <v>18.333333333333332</v>
      </c>
      <c r="AZH42" s="48"/>
      <c r="AZI42" s="49"/>
      <c r="AZJ42" s="49"/>
      <c r="AZK42" s="49"/>
      <c r="AZL42" s="49"/>
      <c r="AZM42" s="49"/>
      <c r="AZN42" s="42">
        <f t="shared" si="2233"/>
        <v>0</v>
      </c>
      <c r="AZO42" s="43">
        <f t="shared" si="2234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35"/>
        <v>220</v>
      </c>
      <c r="AZW42" s="43">
        <f t="shared" si="2236"/>
        <v>36.666666666666664</v>
      </c>
      <c r="AZX42" s="82"/>
      <c r="AZY42" s="83"/>
      <c r="AZZ42" s="83"/>
      <c r="BAA42" s="83"/>
      <c r="BAB42" s="83"/>
      <c r="BAC42" s="83"/>
      <c r="BAD42" s="42">
        <f t="shared" si="2237"/>
        <v>0</v>
      </c>
      <c r="BAE42" s="43">
        <f t="shared" si="2238"/>
        <v>0</v>
      </c>
      <c r="BAF42" s="48"/>
      <c r="BAG42" s="49"/>
      <c r="BAH42" s="49"/>
      <c r="BAI42" s="49"/>
      <c r="BAJ42" s="49"/>
      <c r="BAK42" s="49"/>
      <c r="BAL42" s="42">
        <f t="shared" si="2239"/>
        <v>0</v>
      </c>
      <c r="BAM42" s="43">
        <f t="shared" si="2240"/>
        <v>0</v>
      </c>
      <c r="BAN42" s="48"/>
      <c r="BAO42" s="49"/>
      <c r="BAP42" s="49"/>
      <c r="BAQ42" s="49"/>
      <c r="BAR42" s="49"/>
      <c r="BAS42" s="49"/>
      <c r="BAT42" s="42">
        <f t="shared" si="2241"/>
        <v>0</v>
      </c>
      <c r="BAU42" s="43">
        <f t="shared" si="2242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43"/>
        <v>110</v>
      </c>
      <c r="BBC42" s="43">
        <f t="shared" si="2244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45"/>
        <v>106</v>
      </c>
      <c r="BBK42" s="43">
        <f t="shared" si="2246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47"/>
        <v>318</v>
      </c>
      <c r="BBS42" s="43">
        <f t="shared" si="2248"/>
        <v>53</v>
      </c>
      <c r="BBT42" s="48"/>
      <c r="BBU42" s="49"/>
      <c r="BBV42" s="49"/>
      <c r="BBW42" s="49"/>
      <c r="BBX42" s="49"/>
      <c r="BBY42" s="49"/>
      <c r="BBZ42" s="42">
        <f t="shared" si="2249"/>
        <v>0</v>
      </c>
      <c r="BCA42" s="43">
        <f t="shared" si="2250"/>
        <v>0</v>
      </c>
      <c r="BCB42" s="48"/>
      <c r="BCC42" s="49"/>
      <c r="BCD42" s="49"/>
      <c r="BCE42" s="49"/>
      <c r="BCF42" s="49"/>
      <c r="BCG42" s="49"/>
      <c r="BCH42" s="42">
        <f t="shared" si="2251"/>
        <v>0</v>
      </c>
      <c r="BCI42" s="43">
        <f t="shared" si="2252"/>
        <v>0</v>
      </c>
      <c r="BCJ42" s="48"/>
      <c r="BCK42" s="49"/>
      <c r="BCL42" s="49"/>
      <c r="BCM42" s="49"/>
      <c r="BCN42" s="49"/>
      <c r="BCO42" s="49"/>
      <c r="BCP42" s="42">
        <f t="shared" si="2253"/>
        <v>0</v>
      </c>
      <c r="BCQ42" s="43">
        <f t="shared" si="2254"/>
        <v>0</v>
      </c>
      <c r="BCR42" s="48"/>
      <c r="BCS42" s="49"/>
      <c r="BCT42" s="49"/>
      <c r="BCU42" s="49"/>
      <c r="BCV42" s="49"/>
      <c r="BCW42" s="49"/>
      <c r="BCX42" s="42">
        <f t="shared" si="2255"/>
        <v>0</v>
      </c>
      <c r="BCY42" s="43">
        <f t="shared" si="2256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57"/>
        <v>110</v>
      </c>
      <c r="BDG42" s="43">
        <f t="shared" si="2258"/>
        <v>18.333333333333332</v>
      </c>
      <c r="BDH42" s="48"/>
      <c r="BDI42" s="49"/>
      <c r="BDJ42" s="49"/>
      <c r="BDK42" s="49"/>
      <c r="BDL42" s="49"/>
      <c r="BDM42" s="49"/>
      <c r="BDN42" s="42">
        <f t="shared" si="2259"/>
        <v>0</v>
      </c>
      <c r="BDO42" s="43">
        <f t="shared" si="2260"/>
        <v>0</v>
      </c>
      <c r="BDP42" s="48"/>
      <c r="BDQ42" s="49"/>
      <c r="BDR42" s="49"/>
      <c r="BDS42" s="49"/>
      <c r="BDT42" s="49"/>
      <c r="BDU42" s="49"/>
      <c r="BDV42" s="42">
        <f t="shared" si="2261"/>
        <v>0</v>
      </c>
      <c r="BDW42" s="43">
        <f t="shared" si="2262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63"/>
        <v>105</v>
      </c>
      <c r="BEE42" s="43">
        <f t="shared" si="2264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65"/>
        <v>105</v>
      </c>
      <c r="BEM42" s="43">
        <f t="shared" si="2266"/>
        <v>17.5</v>
      </c>
      <c r="BEN42" s="48"/>
      <c r="BEO42" s="49"/>
      <c r="BEP42" s="49"/>
      <c r="BEQ42" s="49"/>
      <c r="BER42" s="49"/>
      <c r="BES42" s="49"/>
      <c r="BET42" s="42">
        <f t="shared" si="2267"/>
        <v>0</v>
      </c>
      <c r="BEU42" s="43">
        <f t="shared" si="2268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69"/>
        <v>110</v>
      </c>
      <c r="BFC42" s="43">
        <f t="shared" si="2270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71"/>
        <v>110</v>
      </c>
      <c r="BFK42" s="43">
        <f t="shared" si="2272"/>
        <v>18.333333333333332</v>
      </c>
      <c r="BFL42" s="48"/>
      <c r="BFM42" s="49"/>
      <c r="BFN42" s="49"/>
      <c r="BFO42" s="49"/>
      <c r="BFP42" s="49"/>
      <c r="BFQ42" s="49"/>
      <c r="BFR42" s="42">
        <f t="shared" si="2273"/>
        <v>0</v>
      </c>
      <c r="BFS42" s="43">
        <f t="shared" si="2274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75"/>
        <v>97</v>
      </c>
      <c r="BGA42" s="43">
        <f t="shared" si="2276"/>
        <v>16.166666666666668</v>
      </c>
      <c r="BGB42" s="48"/>
      <c r="BGC42" s="49"/>
      <c r="BGD42" s="49"/>
      <c r="BGE42" s="49"/>
      <c r="BGF42" s="49"/>
      <c r="BGG42" s="49"/>
      <c r="BGH42" s="42">
        <f t="shared" si="2277"/>
        <v>0</v>
      </c>
      <c r="BGI42" s="43">
        <f t="shared" si="2278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79"/>
        <v>110</v>
      </c>
      <c r="BGQ42" s="43">
        <f t="shared" si="2280"/>
        <v>18.333333333333332</v>
      </c>
      <c r="BGR42" s="48"/>
      <c r="BGS42" s="49"/>
      <c r="BGT42" s="49"/>
      <c r="BGU42" s="49"/>
      <c r="BGV42" s="49"/>
      <c r="BGW42" s="49"/>
      <c r="BGX42" s="42">
        <f t="shared" si="2281"/>
        <v>0</v>
      </c>
      <c r="BGY42" s="43">
        <f t="shared" si="2282"/>
        <v>0</v>
      </c>
      <c r="BGZ42" s="239"/>
      <c r="BHA42" s="1"/>
      <c r="BHB42" s="1"/>
      <c r="BHC42" s="1"/>
      <c r="BHD42" s="1"/>
      <c r="BHE42" s="1"/>
      <c r="BHF42" s="42">
        <f t="shared" si="2283"/>
        <v>0</v>
      </c>
      <c r="BHG42" s="43">
        <f t="shared" si="2284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85"/>
        <v>208</v>
      </c>
      <c r="BHO42" s="43">
        <f t="shared" si="2286"/>
        <v>34.666666666666664</v>
      </c>
      <c r="BHP42" s="48"/>
      <c r="BHQ42" s="49"/>
      <c r="BHR42" s="49"/>
      <c r="BHS42" s="49"/>
      <c r="BHT42" s="49"/>
      <c r="BHU42" s="49"/>
      <c r="BHV42" s="42">
        <f t="shared" si="2287"/>
        <v>0</v>
      </c>
      <c r="BHW42" s="43">
        <f t="shared" si="2288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89"/>
        <v>110</v>
      </c>
      <c r="BIE42" s="43">
        <f t="shared" si="2290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91"/>
        <v>97</v>
      </c>
      <c r="BIM42" s="43">
        <f t="shared" si="2292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93"/>
        <v>110</v>
      </c>
      <c r="BIU42" s="101">
        <f t="shared" si="2294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95"/>
        <v>110</v>
      </c>
      <c r="BJC42" s="101">
        <f t="shared" si="2296"/>
        <v>18.333333333333332</v>
      </c>
      <c r="BJD42" s="48"/>
      <c r="BJE42" s="49"/>
      <c r="BJF42" s="49"/>
      <c r="BJG42" s="49"/>
      <c r="BJH42" s="49"/>
      <c r="BJI42" s="49"/>
      <c r="BJJ42" s="42">
        <f t="shared" si="2297"/>
        <v>0</v>
      </c>
      <c r="BJK42" s="43">
        <f t="shared" si="2298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99"/>
        <v>109</v>
      </c>
      <c r="BJS42" s="43">
        <f t="shared" si="2300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301"/>
        <v>110</v>
      </c>
      <c r="BKA42" s="43">
        <f t="shared" si="2302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303"/>
        <v>110</v>
      </c>
      <c r="BKI42" s="68">
        <f t="shared" si="2304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305"/>
        <v>110</v>
      </c>
      <c r="BKQ42" s="43">
        <f t="shared" si="2306"/>
        <v>18.333333333333332</v>
      </c>
      <c r="BKR42" s="48"/>
      <c r="BKS42" s="49"/>
      <c r="BKT42" s="49"/>
      <c r="BKU42" s="49"/>
      <c r="BKV42" s="49"/>
      <c r="BKW42" s="49"/>
      <c r="BKX42" s="42">
        <f t="shared" si="2307"/>
        <v>0</v>
      </c>
      <c r="BKY42" s="43">
        <f t="shared" si="2308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309"/>
        <v>110</v>
      </c>
      <c r="BLG42" s="43">
        <f t="shared" si="2310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311"/>
        <v>110</v>
      </c>
      <c r="BLO42" s="43">
        <f t="shared" si="2312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13"/>
        <v>110</v>
      </c>
      <c r="BLW42" s="43">
        <f t="shared" si="2314"/>
        <v>18.333333333333332</v>
      </c>
      <c r="BLX42" s="48"/>
      <c r="BLY42" s="49"/>
      <c r="BLZ42" s="49"/>
      <c r="BMA42" s="49"/>
      <c r="BMB42" s="49"/>
      <c r="BMC42" s="49"/>
      <c r="BMD42" s="42">
        <f t="shared" si="2315"/>
        <v>0</v>
      </c>
      <c r="BME42" s="43">
        <f t="shared" si="2316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17"/>
        <v>100</v>
      </c>
      <c r="BMM42" s="43">
        <f t="shared" si="2318"/>
        <v>16.666666666666668</v>
      </c>
      <c r="BMN42" s="48"/>
      <c r="BMO42" s="49"/>
      <c r="BMP42" s="49"/>
      <c r="BMQ42" s="49"/>
      <c r="BMR42" s="49"/>
      <c r="BMS42" s="49"/>
      <c r="BMT42" s="42">
        <f t="shared" si="2319"/>
        <v>0</v>
      </c>
      <c r="BMU42" s="43">
        <f t="shared" si="2320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21"/>
        <v>77</v>
      </c>
      <c r="BNC42" s="43">
        <f t="shared" si="2322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23"/>
        <v>100</v>
      </c>
      <c r="BNK42" s="43">
        <f t="shared" si="2324"/>
        <v>16.666666666666668</v>
      </c>
      <c r="BNL42" s="48"/>
      <c r="BNM42" s="49"/>
      <c r="BNN42" s="49"/>
      <c r="BNO42" s="49"/>
      <c r="BNP42" s="49"/>
      <c r="BNQ42" s="49"/>
      <c r="BNR42" s="42">
        <f t="shared" si="2325"/>
        <v>0</v>
      </c>
      <c r="BNS42" s="43">
        <f t="shared" si="2326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27"/>
        <v>219</v>
      </c>
      <c r="BOA42" s="43">
        <f t="shared" si="2328"/>
        <v>36.5</v>
      </c>
      <c r="BOB42" s="48"/>
      <c r="BOC42" s="49"/>
      <c r="BOD42" s="49"/>
      <c r="BOE42" s="49"/>
      <c r="BOF42" s="49"/>
      <c r="BOG42" s="49"/>
      <c r="BOH42" s="42">
        <f t="shared" si="2329"/>
        <v>0</v>
      </c>
      <c r="BOI42" s="43">
        <f t="shared" si="2330"/>
        <v>0</v>
      </c>
      <c r="BOJ42" s="48"/>
      <c r="BOK42" s="49"/>
      <c r="BOL42" s="49"/>
      <c r="BOM42" s="49"/>
      <c r="BON42" s="49"/>
      <c r="BOO42" s="49"/>
      <c r="BOP42" s="42">
        <f t="shared" si="2331"/>
        <v>0</v>
      </c>
      <c r="BOQ42" s="43">
        <f t="shared" si="2332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33"/>
        <v>100</v>
      </c>
      <c r="BOY42" s="43">
        <f t="shared" si="2334"/>
        <v>16.666666666666668</v>
      </c>
      <c r="BOZ42" s="48"/>
      <c r="BPA42" s="49"/>
      <c r="BPB42" s="49"/>
      <c r="BPC42" s="49"/>
      <c r="BPD42" s="49"/>
      <c r="BPE42" s="49"/>
      <c r="BPF42" s="42">
        <f t="shared" si="2335"/>
        <v>0</v>
      </c>
      <c r="BPG42" s="43">
        <f t="shared" si="2336"/>
        <v>0</v>
      </c>
      <c r="BPH42" s="48"/>
      <c r="BPI42" s="49"/>
      <c r="BPJ42" s="49"/>
      <c r="BPK42" s="49"/>
      <c r="BPL42" s="49"/>
      <c r="BPM42" s="49"/>
      <c r="BPN42" s="42">
        <f t="shared" si="2337"/>
        <v>0</v>
      </c>
      <c r="BPO42" s="43">
        <f t="shared" si="2338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39"/>
        <v>110</v>
      </c>
      <c r="BPW42" s="43">
        <f t="shared" si="2340"/>
        <v>18.333333333333332</v>
      </c>
      <c r="BPX42" s="48"/>
      <c r="BPY42" s="49"/>
      <c r="BPZ42" s="49"/>
      <c r="BQA42" s="49"/>
      <c r="BQB42" s="49"/>
      <c r="BQC42" s="49"/>
      <c r="BQD42" s="67">
        <f t="shared" si="2341"/>
        <v>0</v>
      </c>
      <c r="BQE42" s="43">
        <f t="shared" si="2342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43"/>
        <v>89</v>
      </c>
      <c r="BQM42" s="43">
        <f t="shared" si="2344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45"/>
        <v>110</v>
      </c>
      <c r="BQU42" s="43">
        <f t="shared" si="2346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47"/>
        <v>110</v>
      </c>
      <c r="BRC42" s="43">
        <f t="shared" si="2348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49"/>
        <v>59</v>
      </c>
      <c r="BRK42" s="43">
        <f t="shared" si="2350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51"/>
        <v>158</v>
      </c>
      <c r="BRS42" s="68">
        <f t="shared" si="2352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53"/>
        <v>110</v>
      </c>
      <c r="BSA42" s="43">
        <f t="shared" si="2354"/>
        <v>18.333333333333332</v>
      </c>
      <c r="BSB42" s="48"/>
      <c r="BSC42" s="49"/>
      <c r="BSD42" s="49"/>
      <c r="BSE42" s="49"/>
      <c r="BSF42" s="49"/>
      <c r="BSG42" s="49"/>
      <c r="BSH42" s="67">
        <f t="shared" si="2355"/>
        <v>0</v>
      </c>
      <c r="BSI42" s="43">
        <f t="shared" si="2356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57"/>
        <v>98</v>
      </c>
      <c r="BSQ42" s="43">
        <f t="shared" si="2358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59"/>
        <v>90</v>
      </c>
      <c r="BSY42" s="43">
        <f t="shared" si="2360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61"/>
        <v>190</v>
      </c>
      <c r="BTG42" s="43">
        <f t="shared" si="2362"/>
        <v>31.666666666666668</v>
      </c>
      <c r="BTH42" s="48"/>
      <c r="BTI42" s="49"/>
      <c r="BTJ42" s="49"/>
      <c r="BTK42" s="49"/>
      <c r="BTL42" s="49"/>
      <c r="BTM42" s="49"/>
      <c r="BTN42" s="67">
        <f t="shared" si="2363"/>
        <v>0</v>
      </c>
      <c r="BTO42" s="68">
        <f t="shared" si="2364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65"/>
        <v>50</v>
      </c>
      <c r="BTW42" s="43">
        <f t="shared" si="2366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67"/>
        <v>60</v>
      </c>
      <c r="BUE42" s="68">
        <f t="shared" si="2368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69"/>
        <v>98</v>
      </c>
      <c r="BUM42" s="68">
        <f t="shared" si="2370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71"/>
        <v>190</v>
      </c>
      <c r="BUU42" s="68">
        <f t="shared" si="2372"/>
        <v>31.666666666666668</v>
      </c>
      <c r="BUV42" s="48"/>
      <c r="BUW42" s="49"/>
      <c r="BUX42" s="49"/>
      <c r="BUY42" s="49"/>
      <c r="BUZ42" s="49"/>
      <c r="BVA42" s="49"/>
      <c r="BVB42" s="67">
        <f t="shared" si="2373"/>
        <v>0</v>
      </c>
      <c r="BVC42" s="68">
        <f t="shared" si="2374"/>
        <v>0</v>
      </c>
      <c r="BVD42" s="48"/>
      <c r="BVE42" s="49"/>
      <c r="BVF42" s="49"/>
      <c r="BVG42" s="49"/>
      <c r="BVH42" s="49"/>
      <c r="BVI42" s="49"/>
      <c r="BVJ42" s="67">
        <f t="shared" si="2375"/>
        <v>0</v>
      </c>
      <c r="BVK42" s="68">
        <f t="shared" si="2376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77"/>
        <v>190</v>
      </c>
      <c r="BVS42" s="68">
        <f t="shared" si="2378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79"/>
        <v>111</v>
      </c>
      <c r="BWA42" s="68">
        <f t="shared" si="2380"/>
        <v>18.5</v>
      </c>
      <c r="BWB42" s="48"/>
      <c r="BWC42" s="49"/>
      <c r="BWD42" s="49"/>
      <c r="BWE42" s="49"/>
      <c r="BWF42" s="49"/>
      <c r="BWG42" s="49"/>
      <c r="BWH42" s="67">
        <f t="shared" si="2381"/>
        <v>0</v>
      </c>
      <c r="BWI42" s="68">
        <f t="shared" si="2382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83"/>
        <v>101</v>
      </c>
      <c r="BWQ42" s="68">
        <f t="shared" si="2384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85"/>
        <v>109</v>
      </c>
      <c r="BWY42" s="68">
        <f t="shared" si="2386"/>
        <v>18.166666666666668</v>
      </c>
      <c r="BWZ42" s="48"/>
      <c r="BXA42" s="49"/>
      <c r="BXB42" s="49"/>
      <c r="BXC42" s="49"/>
      <c r="BXD42" s="49"/>
      <c r="BXE42" s="49"/>
      <c r="BXF42" s="67">
        <f t="shared" si="2387"/>
        <v>0</v>
      </c>
      <c r="BXG42" s="68">
        <f t="shared" si="2388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89"/>
        <v>191</v>
      </c>
      <c r="BXO42" s="68">
        <f t="shared" si="2390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91"/>
        <v>40</v>
      </c>
      <c r="BXW42" s="68">
        <f t="shared" si="1596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92"/>
        <v>80</v>
      </c>
      <c r="BYE42" s="68">
        <f t="shared" si="2393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94"/>
        <v>100</v>
      </c>
      <c r="BYM42" s="68">
        <f t="shared" si="2395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96"/>
        <v>100</v>
      </c>
      <c r="BYU42" s="68">
        <f t="shared" si="2397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98"/>
        <v>220</v>
      </c>
      <c r="BZC42" s="68">
        <f t="shared" si="2399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400"/>
        <v>109</v>
      </c>
      <c r="BZK42" s="68">
        <f t="shared" si="2401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402"/>
        <v>110</v>
      </c>
      <c r="BZS42" s="68">
        <f t="shared" si="2403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404"/>
        <v>129</v>
      </c>
      <c r="CAA42" s="68">
        <f t="shared" si="2405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406"/>
        <v>237</v>
      </c>
      <c r="CAI42" s="68">
        <f t="shared" si="2407"/>
        <v>39.5</v>
      </c>
      <c r="CAJ42" s="48"/>
      <c r="CAK42" s="49"/>
      <c r="CAL42" s="49"/>
      <c r="CAM42" s="49"/>
      <c r="CAN42" s="49"/>
      <c r="CAO42" s="49"/>
      <c r="CAP42" s="67">
        <f t="shared" si="2408"/>
        <v>0</v>
      </c>
      <c r="CAQ42" s="68">
        <f t="shared" si="2409"/>
        <v>0</v>
      </c>
      <c r="CAR42" s="48"/>
      <c r="CAS42" s="49"/>
      <c r="CAT42" s="49"/>
      <c r="CAU42" s="49"/>
      <c r="CAV42" s="49"/>
      <c r="CAW42" s="49"/>
      <c r="CAX42" s="67">
        <f t="shared" si="2410"/>
        <v>0</v>
      </c>
      <c r="CAY42" s="68">
        <f t="shared" si="2411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12"/>
        <v>110</v>
      </c>
      <c r="CBG42" s="68">
        <f t="shared" si="2413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14"/>
        <v>143</v>
      </c>
      <c r="CBO42" s="68">
        <f t="shared" si="2415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16"/>
        <v>110</v>
      </c>
      <c r="CBW42" s="68">
        <f t="shared" si="2417"/>
        <v>18.333333333333332</v>
      </c>
      <c r="CBX42" s="48"/>
      <c r="CBY42" s="49"/>
      <c r="CBZ42" s="49"/>
      <c r="CCA42" s="49"/>
      <c r="CCB42" s="49"/>
      <c r="CCC42" s="49"/>
      <c r="CCD42" s="67">
        <f t="shared" si="2418"/>
        <v>0</v>
      </c>
      <c r="CCE42" s="68">
        <f t="shared" si="2419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20"/>
        <v>80</v>
      </c>
      <c r="CCM42" s="68">
        <f t="shared" si="2421"/>
        <v>13.333333333333334</v>
      </c>
      <c r="CCN42" s="48"/>
      <c r="CCO42" s="49"/>
      <c r="CCP42" s="49"/>
      <c r="CCQ42" s="49"/>
      <c r="CCR42" s="49"/>
      <c r="CCS42" s="49"/>
      <c r="CCT42" s="67">
        <f t="shared" si="2422"/>
        <v>0</v>
      </c>
      <c r="CCU42" s="68">
        <f t="shared" si="2423"/>
        <v>0</v>
      </c>
      <c r="CCV42" s="48"/>
      <c r="CCW42" s="49"/>
      <c r="CCX42" s="49"/>
      <c r="CCY42" s="49"/>
      <c r="CCZ42" s="49"/>
      <c r="CDA42" s="49"/>
      <c r="CDB42" s="67">
        <f t="shared" si="1641"/>
        <v>0</v>
      </c>
      <c r="CDC42" s="68">
        <f t="shared" si="1642"/>
        <v>0</v>
      </c>
      <c r="CDD42" s="48"/>
      <c r="CDE42" s="49"/>
      <c r="CDF42" s="49"/>
      <c r="CDG42" s="49"/>
      <c r="CDH42" s="49"/>
      <c r="CDI42" s="49"/>
      <c r="CDJ42" s="67">
        <f t="shared" si="1643"/>
        <v>0</v>
      </c>
      <c r="CDK42" s="68">
        <f t="shared" si="1644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45"/>
        <v>43</v>
      </c>
      <c r="CDS42" s="68">
        <f t="shared" si="1646"/>
        <v>7.166666666666667</v>
      </c>
      <c r="CDT42" s="48"/>
      <c r="CDU42" s="49"/>
      <c r="CDV42" s="49"/>
      <c r="CDW42" s="49"/>
      <c r="CDX42" s="49"/>
      <c r="CDY42" s="49"/>
      <c r="CDZ42" s="67">
        <f t="shared" si="1647"/>
        <v>0</v>
      </c>
      <c r="CEA42" s="68">
        <f t="shared" si="1648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49"/>
        <v>58</v>
      </c>
      <c r="CEI42" s="68">
        <f t="shared" si="1650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51"/>
        <v>39</v>
      </c>
      <c r="CEQ42" s="68">
        <f t="shared" si="1652"/>
        <v>6.5</v>
      </c>
      <c r="CER42" s="48"/>
      <c r="CES42" s="49"/>
      <c r="CET42" s="49"/>
      <c r="CEU42" s="49"/>
      <c r="CEV42" s="49"/>
      <c r="CEW42" s="49"/>
      <c r="CEX42" s="67">
        <f t="shared" si="1653"/>
        <v>0</v>
      </c>
      <c r="CEY42" s="68">
        <f t="shared" si="1654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55"/>
        <v>55</v>
      </c>
      <c r="CFG42" s="68">
        <f t="shared" si="1656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57"/>
        <v>150</v>
      </c>
      <c r="CFO42" s="68">
        <f t="shared" si="1658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59"/>
        <v>110</v>
      </c>
      <c r="CFW42" s="68">
        <f t="shared" si="1660"/>
        <v>18.333333333333332</v>
      </c>
      <c r="CFX42" s="48"/>
      <c r="CFY42" s="49"/>
      <c r="CFZ42" s="49"/>
      <c r="CGA42" s="49"/>
      <c r="CGB42" s="49"/>
      <c r="CGC42" s="49"/>
      <c r="CGD42" s="67">
        <f t="shared" si="1661"/>
        <v>0</v>
      </c>
      <c r="CGE42" s="68">
        <f t="shared" si="1662"/>
        <v>0</v>
      </c>
      <c r="CGF42" s="48"/>
      <c r="CGG42" s="49"/>
      <c r="CGH42" s="49"/>
      <c r="CGI42" s="49"/>
      <c r="CGJ42" s="49"/>
      <c r="CGK42" s="49"/>
      <c r="CGL42" s="67">
        <f t="shared" si="1663"/>
        <v>0</v>
      </c>
      <c r="CGM42" s="68">
        <f t="shared" si="1664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65"/>
        <v>93</v>
      </c>
      <c r="CGU42" s="68">
        <f t="shared" si="1666"/>
        <v>15.5</v>
      </c>
      <c r="CGV42" s="48"/>
      <c r="CGW42" s="49"/>
      <c r="CGX42" s="49"/>
      <c r="CGY42" s="49"/>
      <c r="CGZ42" s="49"/>
      <c r="CHA42" s="49"/>
      <c r="CHB42" s="67">
        <f t="shared" si="1667"/>
        <v>0</v>
      </c>
      <c r="CHC42" s="68">
        <f t="shared" si="1668"/>
        <v>0</v>
      </c>
      <c r="CHD42" s="48"/>
      <c r="CHE42" s="49"/>
      <c r="CHF42" s="49"/>
      <c r="CHG42" s="49"/>
      <c r="CHH42" s="49"/>
      <c r="CHI42" s="49"/>
      <c r="CHJ42" s="67">
        <f t="shared" si="1669"/>
        <v>0</v>
      </c>
      <c r="CHK42" s="68">
        <f t="shared" si="1670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71"/>
        <v>101</v>
      </c>
      <c r="CHS42" s="68">
        <f t="shared" si="1672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73"/>
        <v>41</v>
      </c>
      <c r="CIA42" s="68">
        <f t="shared" si="1674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75"/>
        <v>104</v>
      </c>
      <c r="CII42" s="68">
        <f t="shared" si="1676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77"/>
        <v>129</v>
      </c>
      <c r="CIQ42" s="68">
        <f t="shared" si="1678"/>
        <v>21.5</v>
      </c>
      <c r="CIR42" s="48"/>
      <c r="CIS42" s="49"/>
      <c r="CIT42" s="49"/>
      <c r="CIU42" s="49"/>
      <c r="CIV42" s="49"/>
      <c r="CIW42" s="49"/>
      <c r="CIX42" s="67">
        <f t="shared" si="1679"/>
        <v>0</v>
      </c>
      <c r="CIY42" s="68">
        <f t="shared" si="1680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81"/>
        <v>110</v>
      </c>
      <c r="CJG42" s="68">
        <f t="shared" si="1682"/>
        <v>18.333333333333332</v>
      </c>
      <c r="CJH42" s="48"/>
      <c r="CJI42" s="49"/>
      <c r="CJJ42" s="49"/>
      <c r="CJK42" s="49"/>
      <c r="CJL42" s="49"/>
      <c r="CJM42" s="49"/>
      <c r="CJN42" s="67">
        <f t="shared" si="1683"/>
        <v>0</v>
      </c>
      <c r="CJO42" s="184">
        <f t="shared" si="1684"/>
        <v>0</v>
      </c>
      <c r="CJP42" s="48"/>
      <c r="CJQ42" s="49"/>
      <c r="CJR42" s="49"/>
      <c r="CJS42" s="49"/>
      <c r="CJT42" s="49"/>
      <c r="CJU42" s="49"/>
      <c r="CJV42" s="67">
        <f t="shared" si="1685"/>
        <v>0</v>
      </c>
      <c r="CJW42" s="68">
        <f t="shared" si="1686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24"/>
        <v>162</v>
      </c>
      <c r="CKE42" s="68">
        <f t="shared" si="1687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88"/>
        <v>110</v>
      </c>
      <c r="CKM42" s="68">
        <f t="shared" si="1689"/>
        <v>18.333333333333332</v>
      </c>
      <c r="CKN42" s="48"/>
      <c r="CKO42" s="49"/>
      <c r="CKP42" s="49"/>
      <c r="CKQ42" s="49"/>
      <c r="CKR42" s="49"/>
      <c r="CKS42" s="47"/>
      <c r="CKT42" s="67">
        <f t="shared" si="1690"/>
        <v>0</v>
      </c>
      <c r="CKU42" s="68">
        <f t="shared" si="1691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92"/>
        <v>110</v>
      </c>
      <c r="CLC42" s="68">
        <f t="shared" si="1693"/>
        <v>18.333333333333332</v>
      </c>
      <c r="CLD42" s="48"/>
      <c r="CLE42" s="49"/>
      <c r="CLF42" s="49"/>
      <c r="CLG42" s="49"/>
      <c r="CLH42" s="49"/>
      <c r="CLI42" s="49"/>
      <c r="CLJ42" s="67">
        <f t="shared" si="1694"/>
        <v>0</v>
      </c>
      <c r="CLK42" s="68">
        <f t="shared" si="1695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96"/>
        <v>184</v>
      </c>
      <c r="CLS42" s="68">
        <f t="shared" si="1697"/>
        <v>30.666666666666668</v>
      </c>
      <c r="CLT42" s="48"/>
      <c r="CLU42" s="49"/>
      <c r="CLV42" s="49"/>
      <c r="CLW42" s="49"/>
      <c r="CLX42" s="49"/>
      <c r="CLY42" s="49"/>
      <c r="CLZ42" s="67">
        <f t="shared" si="1698"/>
        <v>0</v>
      </c>
      <c r="CMA42" s="68">
        <f t="shared" si="1699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700"/>
        <v>220</v>
      </c>
      <c r="CMI42" s="68">
        <f t="shared" si="1701"/>
        <v>36.666666666666664</v>
      </c>
      <c r="CMJ42" s="48"/>
      <c r="CMK42" s="49"/>
      <c r="CML42" s="49"/>
      <c r="CMM42" s="49"/>
      <c r="CMN42" s="49"/>
      <c r="CMO42" s="49"/>
      <c r="CMP42" s="67">
        <f t="shared" si="1702"/>
        <v>0</v>
      </c>
      <c r="CMQ42" s="68">
        <f t="shared" si="1703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704"/>
        <v>40</v>
      </c>
      <c r="CMY42" s="68">
        <f t="shared" si="1705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706"/>
        <v>100</v>
      </c>
      <c r="CNG42" s="68">
        <f t="shared" si="1707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708"/>
        <v>161</v>
      </c>
      <c r="CNO42" s="68">
        <f t="shared" si="1709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710"/>
        <v>10</v>
      </c>
      <c r="CNW42" s="68">
        <f t="shared" si="1711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12"/>
        <v>80</v>
      </c>
      <c r="COE42" s="68">
        <f t="shared" si="1713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14"/>
        <v>76</v>
      </c>
      <c r="COM42" s="68">
        <f t="shared" si="1715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16"/>
        <v>220</v>
      </c>
      <c r="COU42" s="68">
        <f t="shared" si="1717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18"/>
        <v>80</v>
      </c>
      <c r="CPC42" s="68">
        <f t="shared" si="1719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20"/>
        <v>38</v>
      </c>
      <c r="CPK42" s="68">
        <f t="shared" si="1721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22"/>
        <v>30</v>
      </c>
      <c r="CPS42" s="68">
        <f t="shared" si="1723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24"/>
        <v>160</v>
      </c>
      <c r="CQA42" s="68">
        <f t="shared" si="1725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26"/>
        <v>95</v>
      </c>
      <c r="CQI42" s="68">
        <f t="shared" si="1727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28"/>
        <v>81</v>
      </c>
      <c r="CQQ42" s="68">
        <f t="shared" si="1729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30"/>
        <v>0</v>
      </c>
      <c r="CQY42" s="68">
        <f t="shared" si="1731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32"/>
        <v>159</v>
      </c>
      <c r="CRG42" s="68">
        <f t="shared" si="1733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34"/>
        <v>110</v>
      </c>
      <c r="CRO42" s="68">
        <f t="shared" si="1735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36"/>
        <v>110</v>
      </c>
      <c r="CRW42" s="68">
        <f t="shared" si="1737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38"/>
        <v>0</v>
      </c>
      <c r="CSE42" s="68">
        <f t="shared" si="1739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40"/>
        <v>191</v>
      </c>
      <c r="CSM42" s="68">
        <f t="shared" si="1741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42"/>
        <v>0</v>
      </c>
      <c r="CSU42" s="68">
        <f t="shared" si="1743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44"/>
        <v>110</v>
      </c>
      <c r="CTC42" s="68">
        <f t="shared" si="1745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46"/>
        <v>121</v>
      </c>
      <c r="CTK42" s="68">
        <f t="shared" si="1747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48"/>
        <v>20</v>
      </c>
      <c r="CTS42" s="68">
        <f t="shared" si="1749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50"/>
        <v>81</v>
      </c>
      <c r="CUA42" s="68">
        <f t="shared" si="1751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52"/>
        <v>0</v>
      </c>
      <c r="CUI42" s="68">
        <f t="shared" si="1753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54"/>
        <v>0</v>
      </c>
      <c r="CUQ42" s="68">
        <f t="shared" si="1755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56"/>
        <v>83</v>
      </c>
      <c r="CUY42" s="68">
        <f t="shared" si="1757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58"/>
        <v>0</v>
      </c>
      <c r="CVG42" s="68">
        <f t="shared" si="1759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60"/>
        <v>61</v>
      </c>
      <c r="CVO42" s="68">
        <f t="shared" si="1761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62"/>
        <v>118</v>
      </c>
      <c r="CVW42" s="68">
        <f t="shared" si="1763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64"/>
        <v>111</v>
      </c>
      <c r="CWE42" s="68">
        <f t="shared" si="1765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66"/>
        <v>0</v>
      </c>
      <c r="CWM42" s="68">
        <f t="shared" si="1767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68"/>
        <v>91</v>
      </c>
      <c r="CWU42" s="68">
        <f t="shared" si="1769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70"/>
        <v>111</v>
      </c>
      <c r="CXC42" s="43">
        <f t="shared" si="1771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72"/>
        <v>119</v>
      </c>
      <c r="CXK42" s="43">
        <f t="shared" si="1773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74"/>
        <v>101</v>
      </c>
      <c r="CXS42" s="43">
        <f t="shared" si="1775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76"/>
        <v>193</v>
      </c>
      <c r="CYA42" s="43">
        <f t="shared" si="1777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78"/>
        <v>79</v>
      </c>
      <c r="CYI42" s="43">
        <f t="shared" si="1779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80"/>
        <v>0</v>
      </c>
      <c r="CYQ42" s="43">
        <f t="shared" si="1781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82"/>
        <v>110</v>
      </c>
      <c r="CYY42" s="43">
        <f t="shared" si="1783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84"/>
        <v>0</v>
      </c>
      <c r="CZG42" s="43">
        <f t="shared" si="1785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86"/>
        <v>417</v>
      </c>
      <c r="CZO42" s="43">
        <f t="shared" si="1787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88"/>
        <v>110</v>
      </c>
      <c r="CZW42" s="43">
        <f t="shared" si="1789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90"/>
        <v>110</v>
      </c>
      <c r="DAE42" s="68">
        <f t="shared" si="1791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92"/>
        <v>40</v>
      </c>
      <c r="DAM42" s="68">
        <f t="shared" si="1793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94"/>
        <v>110</v>
      </c>
      <c r="DAU42" s="68">
        <f t="shared" si="1795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96"/>
        <v>0</v>
      </c>
      <c r="DBC42" s="68">
        <f t="shared" si="1797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98"/>
        <v>220</v>
      </c>
      <c r="DBK42" s="68">
        <f t="shared" si="1799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800"/>
        <v>0</v>
      </c>
      <c r="DBS42" s="68">
        <f t="shared" si="1801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802"/>
        <v>0</v>
      </c>
      <c r="DCA42" s="68">
        <f t="shared" si="1803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804"/>
        <v>219</v>
      </c>
      <c r="DCI42" s="68">
        <f t="shared" si="1805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806"/>
        <v>0</v>
      </c>
      <c r="DCQ42" s="68">
        <f t="shared" si="1807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08"/>
        <v>110</v>
      </c>
      <c r="DCY42" s="68">
        <f t="shared" si="1809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810"/>
        <v>122</v>
      </c>
      <c r="DDG42" s="68">
        <f t="shared" si="1811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12"/>
        <v>214</v>
      </c>
      <c r="DDO42" s="43">
        <f t="shared" si="1813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14"/>
        <v>0</v>
      </c>
      <c r="DDW42" s="43">
        <f t="shared" si="1815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16"/>
        <v>111</v>
      </c>
      <c r="DEE42" s="43">
        <f t="shared" si="1817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18"/>
        <v>220</v>
      </c>
      <c r="DEM42" s="43">
        <f t="shared" si="1819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20"/>
        <v>0</v>
      </c>
      <c r="DEU42" s="43">
        <f t="shared" si="1821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22"/>
        <v>110</v>
      </c>
      <c r="DFC42" s="43">
        <f t="shared" si="1823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24"/>
        <v>110</v>
      </c>
      <c r="DFK42" s="43">
        <f t="shared" si="1825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26"/>
        <v>127</v>
      </c>
      <c r="DFS42" s="68">
        <f t="shared" si="1827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28"/>
        <v>0</v>
      </c>
      <c r="DGA42" s="43">
        <f t="shared" si="1829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30"/>
        <v>0</v>
      </c>
      <c r="DGI42" s="43">
        <f t="shared" si="1831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32"/>
        <v>326</v>
      </c>
      <c r="DGQ42" s="68">
        <f t="shared" si="1833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34"/>
        <v>0</v>
      </c>
      <c r="DGY42" s="68">
        <f t="shared" si="1835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36"/>
        <v>0</v>
      </c>
      <c r="DHG42" s="68">
        <f t="shared" si="1837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38"/>
        <v>229</v>
      </c>
      <c r="DHO42" s="68">
        <f t="shared" si="1839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40"/>
        <v>111</v>
      </c>
      <c r="DHW42" s="68">
        <f t="shared" si="1841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42"/>
        <v>117</v>
      </c>
      <c r="DIE42" s="68">
        <f t="shared" si="1843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44"/>
        <v>0</v>
      </c>
      <c r="DIM42" s="68">
        <f t="shared" si="1845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46"/>
        <v>119</v>
      </c>
      <c r="DIU42" s="68">
        <f t="shared" si="1847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48"/>
        <v>110</v>
      </c>
      <c r="DJC42" s="68">
        <f t="shared" si="1849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50"/>
        <v>0</v>
      </c>
      <c r="DJK42" s="68">
        <f t="shared" si="1851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52"/>
        <v>109</v>
      </c>
      <c r="DJS42" s="68">
        <f t="shared" si="1853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54"/>
        <v>301</v>
      </c>
      <c r="DKA42" s="68">
        <f t="shared" si="1855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56"/>
        <v>337</v>
      </c>
      <c r="DKI42" s="68">
        <f t="shared" si="1857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58"/>
        <v>0</v>
      </c>
      <c r="DKQ42" s="68">
        <f t="shared" si="1859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60"/>
        <v>211</v>
      </c>
      <c r="DKY42" s="68">
        <f t="shared" si="1861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62"/>
        <v>0</v>
      </c>
      <c r="DLG42" s="68">
        <f t="shared" si="1863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64"/>
        <v>160</v>
      </c>
      <c r="DLO42" s="68">
        <f t="shared" si="1865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66"/>
        <v>110</v>
      </c>
      <c r="DLW42" s="68">
        <f t="shared" si="1867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68"/>
        <v>160</v>
      </c>
      <c r="DME42" s="68">
        <f t="shared" si="1869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70"/>
        <v>0</v>
      </c>
      <c r="DMM42" s="68">
        <f t="shared" si="1871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72"/>
        <v>160</v>
      </c>
      <c r="DMU42" s="68">
        <f t="shared" si="1873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74"/>
        <v>117</v>
      </c>
      <c r="DNC42" s="68">
        <f t="shared" si="1875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76"/>
        <v>0</v>
      </c>
      <c r="DNK42" s="68">
        <f t="shared" si="1877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78"/>
        <v>160</v>
      </c>
      <c r="DNS42" s="68">
        <f t="shared" si="1879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80"/>
        <v>110</v>
      </c>
      <c r="DOA42" s="68">
        <f t="shared" si="1881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82"/>
        <v>111</v>
      </c>
      <c r="DOI42" s="68">
        <f t="shared" si="1883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84"/>
        <v>80</v>
      </c>
      <c r="DOQ42" s="68">
        <f t="shared" si="1885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86"/>
        <v>110</v>
      </c>
      <c r="DOY42" s="68">
        <f t="shared" si="1887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88"/>
        <v>0</v>
      </c>
      <c r="DPG42" s="68">
        <f t="shared" si="1889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90"/>
        <v>117</v>
      </c>
      <c r="DPO42" s="68">
        <f t="shared" si="1891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92"/>
        <v>112</v>
      </c>
      <c r="DPW42" s="492">
        <f t="shared" si="1893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94"/>
        <v>0</v>
      </c>
      <c r="DQE42" s="492">
        <f t="shared" si="1895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96"/>
        <v>193</v>
      </c>
      <c r="DQM42" s="492">
        <f t="shared" si="1897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98"/>
        <v>109</v>
      </c>
      <c r="DQU42" s="68">
        <f t="shared" si="1899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900"/>
        <v>0</v>
      </c>
      <c r="DRC42" s="492">
        <f t="shared" si="1901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902"/>
        <v>110</v>
      </c>
      <c r="DRK42" s="492">
        <f t="shared" si="1903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99"/>
        <v>0</v>
      </c>
      <c r="DRS42" s="68">
        <f t="shared" si="1600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601"/>
        <v>0</v>
      </c>
      <c r="DSA42" s="68">
        <f t="shared" si="1602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603"/>
        <v>93</v>
      </c>
      <c r="DSI42" s="68">
        <f t="shared" si="1604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605"/>
        <v>80</v>
      </c>
      <c r="DSQ42" s="68">
        <f t="shared" si="1606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607"/>
        <v>108</v>
      </c>
      <c r="DSY42" s="68">
        <f t="shared" si="1608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609"/>
        <v>112</v>
      </c>
      <c r="DTG42" s="68">
        <f t="shared" si="1610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611"/>
        <v>289</v>
      </c>
      <c r="DTO42" s="68">
        <f t="shared" si="1612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13"/>
        <v>110</v>
      </c>
      <c r="DTW42" s="68">
        <f t="shared" si="1614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15"/>
        <v>239</v>
      </c>
      <c r="DUE42" s="68">
        <f t="shared" si="1616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17"/>
        <v>0</v>
      </c>
      <c r="DUM42" s="68">
        <f t="shared" si="1618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19"/>
        <v>120</v>
      </c>
      <c r="DUU42" s="68">
        <f t="shared" si="1620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21"/>
        <v>110</v>
      </c>
      <c r="DVC42" s="68">
        <f t="shared" si="1622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23"/>
        <v>110</v>
      </c>
      <c r="DVK42" s="68">
        <f t="shared" si="1624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25"/>
        <v>0</v>
      </c>
      <c r="DVS42" s="68">
        <f t="shared" si="1626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27"/>
        <v>120</v>
      </c>
      <c r="DWA42" s="68">
        <f t="shared" si="1628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29"/>
        <v>110</v>
      </c>
      <c r="DWI42" s="68">
        <f t="shared" si="1630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31"/>
        <v>110</v>
      </c>
      <c r="DWQ42" s="68">
        <f t="shared" si="1632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33"/>
        <v>0</v>
      </c>
      <c r="DWY42" s="68">
        <f t="shared" si="1634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35"/>
        <v>110</v>
      </c>
      <c r="DXG42" s="68">
        <f t="shared" si="1636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37"/>
        <v>0</v>
      </c>
      <c r="DXO42" s="68">
        <f t="shared" si="1638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8"/>
        <v>220</v>
      </c>
      <c r="DXW42" s="68">
        <f t="shared" si="1329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30"/>
        <v>0</v>
      </c>
      <c r="DYE42" s="68">
        <f t="shared" si="1331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32"/>
        <v>103</v>
      </c>
      <c r="DYM42" s="68">
        <f t="shared" si="1333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34"/>
        <v>80</v>
      </c>
      <c r="DYU42" s="68">
        <f t="shared" si="1335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36"/>
        <v>110</v>
      </c>
      <c r="DZC42" s="68">
        <f t="shared" si="1337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8"/>
        <v>0</v>
      </c>
      <c r="DZK42" s="68">
        <f t="shared" si="1339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40"/>
        <v>120</v>
      </c>
      <c r="DZS42" s="68">
        <f t="shared" si="1341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42"/>
        <v>110</v>
      </c>
      <c r="EAA42" s="68">
        <f t="shared" si="1343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44"/>
        <v>0</v>
      </c>
      <c r="EAI42" s="68">
        <f t="shared" si="1345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46"/>
        <v>0</v>
      </c>
      <c r="EAQ42" s="68">
        <f t="shared" si="1347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8"/>
        <v>80</v>
      </c>
      <c r="EAY42" s="68">
        <f t="shared" si="1349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50"/>
        <v>0</v>
      </c>
      <c r="EBG42" s="68">
        <f t="shared" si="1351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52"/>
        <v>78</v>
      </c>
      <c r="EBO42" s="68">
        <f t="shared" si="1353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4"/>
        <v>0</v>
      </c>
      <c r="EBW42" s="68">
        <f t="shared" si="1355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56"/>
        <v>80</v>
      </c>
      <c r="ECE42" s="68">
        <f t="shared" si="1357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8"/>
        <v>40</v>
      </c>
      <c r="ECM42" s="68">
        <f t="shared" si="1359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60"/>
        <v>190</v>
      </c>
      <c r="ECU42" s="68">
        <f t="shared" si="1361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62"/>
        <v>110</v>
      </c>
      <c r="EDC42" s="68">
        <f t="shared" si="1363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64"/>
        <v>0</v>
      </c>
      <c r="EDK42" s="68">
        <f t="shared" si="1365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66"/>
        <v>110</v>
      </c>
      <c r="EDS42" s="68">
        <f t="shared" si="1367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8"/>
        <v>0</v>
      </c>
      <c r="EEA42" s="68">
        <f t="shared" si="1369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70"/>
        <v>110</v>
      </c>
      <c r="EEI42" s="68">
        <f t="shared" si="1371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72"/>
        <v>110</v>
      </c>
      <c r="EEQ42" s="68">
        <f t="shared" si="1373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74"/>
        <v>110</v>
      </c>
      <c r="EEY42" s="68">
        <f t="shared" si="1375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76"/>
        <v>0</v>
      </c>
      <c r="EFG42" s="68">
        <f t="shared" si="1377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8"/>
        <v>0</v>
      </c>
      <c r="EFO42" s="68">
        <f t="shared" si="1379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80"/>
        <v>0</v>
      </c>
      <c r="EFW42" s="68">
        <f t="shared" si="1381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82"/>
        <v>50</v>
      </c>
      <c r="EGE42" s="68">
        <f t="shared" si="1383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84"/>
        <v>90</v>
      </c>
      <c r="EGM42" s="68">
        <f t="shared" si="1385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86"/>
        <v>0</v>
      </c>
      <c r="EGU42" s="68">
        <f t="shared" si="1387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8"/>
        <v>0</v>
      </c>
      <c r="EHC42" s="68">
        <f t="shared" si="1389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90"/>
        <v>80</v>
      </c>
      <c r="EHK42" s="68">
        <f t="shared" si="1391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92"/>
        <v>72</v>
      </c>
      <c r="EHS42" s="68">
        <f t="shared" si="1393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94"/>
        <v>88</v>
      </c>
      <c r="EIA42" s="68">
        <f t="shared" si="1395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96"/>
        <v>0</v>
      </c>
      <c r="EII42" s="68">
        <f t="shared" si="1397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8"/>
        <v>0</v>
      </c>
      <c r="EIQ42" s="68">
        <f t="shared" si="1399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400"/>
        <v>40</v>
      </c>
      <c r="EIY42" s="68">
        <f t="shared" si="1401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402"/>
        <v>80</v>
      </c>
      <c r="EJG42" s="68">
        <f t="shared" si="1403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404"/>
        <v>0</v>
      </c>
      <c r="EJO42" s="68">
        <f t="shared" si="1405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406"/>
        <v>40</v>
      </c>
      <c r="EJW42" s="68">
        <f t="shared" si="1407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8"/>
        <v>79</v>
      </c>
      <c r="EKE42" s="68">
        <f t="shared" si="1409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10"/>
        <v>0</v>
      </c>
      <c r="EKM42" s="68">
        <f t="shared" si="1411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12"/>
        <v>595</v>
      </c>
      <c r="EKU42" s="184">
        <f t="shared" si="1413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14"/>
        <v>0</v>
      </c>
      <c r="ELD42" s="211">
        <f t="shared" si="1415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16"/>
        <v>87</v>
      </c>
      <c r="ELL42" s="211">
        <f t="shared" si="1417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8"/>
        <v>0</v>
      </c>
      <c r="ELT42" s="211">
        <f t="shared" si="1419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20"/>
        <v>0</v>
      </c>
      <c r="EMB42" s="211">
        <f t="shared" si="1421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22"/>
        <v>0</v>
      </c>
      <c r="EMJ42" s="211">
        <f t="shared" si="1423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24"/>
        <v>40</v>
      </c>
      <c r="EMR42" s="211">
        <f t="shared" si="1425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26"/>
        <v>80</v>
      </c>
      <c r="EMZ42" s="211">
        <f t="shared" si="1427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8"/>
        <v>0</v>
      </c>
      <c r="ENH42" s="211">
        <f t="shared" si="1429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30"/>
        <v>0</v>
      </c>
      <c r="ENP42" s="211">
        <f t="shared" si="1431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32"/>
        <v>0</v>
      </c>
      <c r="ENX42" s="211">
        <f t="shared" si="1433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34"/>
        <v>40</v>
      </c>
      <c r="EOF42" s="211">
        <f t="shared" si="1435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36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37"/>
        <v>0</v>
      </c>
      <c r="EOV42" s="211">
        <f t="shared" si="1438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9"/>
        <v>0</v>
      </c>
      <c r="EPD42" s="211">
        <f t="shared" si="1440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41"/>
        <v>40</v>
      </c>
      <c r="EPL42" s="211">
        <f t="shared" si="1442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43"/>
        <v>40</v>
      </c>
      <c r="EPT42" s="211">
        <f t="shared" si="1444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5"/>
        <v>0</v>
      </c>
      <c r="EQB42" s="211">
        <f t="shared" si="1446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7"/>
        <v>0</v>
      </c>
      <c r="EQJ42" s="211">
        <f t="shared" si="1448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9"/>
        <v>50</v>
      </c>
      <c r="EQR42" s="211">
        <f t="shared" si="1450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51"/>
        <v>0</v>
      </c>
      <c r="EQZ42" s="211">
        <f t="shared" si="1452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53"/>
        <v>0</v>
      </c>
      <c r="ERH42" s="211">
        <f t="shared" si="1454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55"/>
        <v>0</v>
      </c>
      <c r="ERP42" s="211">
        <f t="shared" si="1456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57"/>
        <v>41</v>
      </c>
      <c r="ERX42" s="211">
        <f t="shared" si="1458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9"/>
        <v>0</v>
      </c>
      <c r="ESF42" s="211">
        <f t="shared" si="1460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61"/>
        <v>40</v>
      </c>
      <c r="ESN42" s="211">
        <f t="shared" si="1462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63"/>
        <v>0</v>
      </c>
      <c r="ESV42" s="211">
        <f t="shared" si="1464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65"/>
        <v>0</v>
      </c>
      <c r="ETD42" s="211">
        <f t="shared" si="1466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7"/>
        <v>40</v>
      </c>
      <c r="ETL42" s="211">
        <f t="shared" si="1468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9"/>
        <v>40</v>
      </c>
      <c r="ETT42" s="211">
        <f t="shared" si="1470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71"/>
        <v>0</v>
      </c>
      <c r="EUB42" s="211">
        <f t="shared" si="1472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73"/>
        <v>0</v>
      </c>
      <c r="EUJ42" s="211">
        <f t="shared" si="1474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75"/>
        <v>39</v>
      </c>
      <c r="EUR42" s="211">
        <f t="shared" si="1476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77"/>
        <v>20</v>
      </c>
      <c r="EUZ42" s="211">
        <f t="shared" si="1478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9"/>
        <v>0</v>
      </c>
      <c r="EVH42" s="211">
        <f t="shared" si="1480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81"/>
        <v>0</v>
      </c>
      <c r="EVP42" s="211">
        <f t="shared" si="1482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83"/>
        <v>40</v>
      </c>
      <c r="EVX42" s="211">
        <f t="shared" si="1484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85"/>
        <v>40</v>
      </c>
      <c r="EWF42" s="211">
        <f t="shared" si="1486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87"/>
        <v>0</v>
      </c>
      <c r="EWN42" s="211">
        <f t="shared" si="1488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9"/>
        <v>40</v>
      </c>
      <c r="EWV42" s="211">
        <f t="shared" si="1490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91"/>
        <v>0</v>
      </c>
      <c r="EXD42" s="211">
        <f t="shared" si="1492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93"/>
        <v>0</v>
      </c>
      <c r="EXL42" s="211">
        <f t="shared" si="1494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95"/>
        <v>0</v>
      </c>
      <c r="EXT42" s="211">
        <f t="shared" si="1496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97"/>
        <v>222</v>
      </c>
      <c r="EYB42" s="211">
        <f t="shared" si="1498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9"/>
        <v>0</v>
      </c>
      <c r="EYJ42" s="211">
        <f t="shared" si="1500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501"/>
        <v>0</v>
      </c>
      <c r="EYR42" s="211">
        <f t="shared" si="1502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503"/>
        <v>0</v>
      </c>
      <c r="EYZ42" s="873">
        <f t="shared" si="1504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5"/>
        <v>0</v>
      </c>
      <c r="EZH42" s="873">
        <f t="shared" si="1506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>
        <v>0</v>
      </c>
      <c r="EZO42" s="872">
        <f t="shared" si="1507"/>
        <v>0</v>
      </c>
      <c r="EZP42" s="873">
        <f t="shared" si="1508"/>
        <v>0</v>
      </c>
      <c r="EZQ42" s="458">
        <v>0</v>
      </c>
      <c r="EZR42" s="83"/>
      <c r="EZS42" s="83">
        <v>0</v>
      </c>
      <c r="EZT42" s="83">
        <v>0</v>
      </c>
      <c r="EZU42" s="83">
        <v>0</v>
      </c>
      <c r="EZV42" s="83">
        <v>0</v>
      </c>
      <c r="EZW42" s="872">
        <f t="shared" si="1509"/>
        <v>0</v>
      </c>
      <c r="EZX42" s="873">
        <f t="shared" si="1510"/>
        <v>0</v>
      </c>
      <c r="EZY42" s="195">
        <v>0</v>
      </c>
      <c r="EZZ42" s="49">
        <v>0</v>
      </c>
      <c r="FAA42" s="49"/>
      <c r="FAB42" s="49"/>
      <c r="FAC42" s="49"/>
      <c r="FAD42" s="49"/>
      <c r="FAE42" s="872">
        <f t="shared" si="1511"/>
        <v>0</v>
      </c>
      <c r="FAF42" s="873">
        <f t="shared" si="1512"/>
        <v>0</v>
      </c>
    </row>
    <row r="43" spans="1:4088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2735</v>
      </c>
      <c r="G43" s="24"/>
      <c r="H43" s="24"/>
      <c r="I43" s="24"/>
      <c r="J43" s="360">
        <f>SUMIF(SUMPK!$B:$B,$B:$B,SUMPK!$O:$O)</f>
        <v>0</v>
      </c>
      <c r="K43" s="24">
        <f t="shared" si="1226"/>
        <v>0</v>
      </c>
      <c r="L43" s="24">
        <f t="shared" si="1517"/>
        <v>2735</v>
      </c>
      <c r="M43" s="15">
        <f t="shared" si="1639"/>
        <v>2735</v>
      </c>
      <c r="N43" s="15">
        <v>100.16666666666667</v>
      </c>
      <c r="O43" s="276">
        <f t="shared" si="1229"/>
        <v>27.3044925124792</v>
      </c>
      <c r="P43" s="712">
        <v>97.833333333333329</v>
      </c>
      <c r="Q43" s="276">
        <f t="shared" si="1518"/>
        <v>167.73424190800682</v>
      </c>
      <c r="R43" s="277">
        <f t="shared" si="1519"/>
        <v>138.46153846153845</v>
      </c>
      <c r="S43" s="222">
        <v>3600</v>
      </c>
      <c r="T43" s="276">
        <f t="shared" si="1640"/>
        <v>19.75277777777778</v>
      </c>
      <c r="U43" s="278"/>
      <c r="V43" s="276">
        <f t="shared" si="1233"/>
        <v>19.75277777777778</v>
      </c>
      <c r="W43" s="279">
        <f t="shared" si="1234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41"/>
        <v>600</v>
      </c>
      <c r="CDC43" s="68">
        <f t="shared" si="1642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43"/>
        <v>350</v>
      </c>
      <c r="CDK43" s="68">
        <f t="shared" si="1644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45"/>
        <v>702</v>
      </c>
      <c r="CDS43" s="68">
        <f t="shared" si="1646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47"/>
        <v>1137</v>
      </c>
      <c r="CEA43" s="68">
        <f t="shared" si="1648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49"/>
        <v>1126</v>
      </c>
      <c r="CEI43" s="68">
        <f t="shared" si="1650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51"/>
        <v>992</v>
      </c>
      <c r="CEQ43" s="68">
        <f t="shared" si="1652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54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55"/>
        <v>814</v>
      </c>
      <c r="CFG43" s="68">
        <f t="shared" si="1656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57"/>
        <v>440</v>
      </c>
      <c r="CFO43" s="68">
        <f t="shared" si="1658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59"/>
        <v>472</v>
      </c>
      <c r="CFW43" s="68">
        <f t="shared" si="1660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61"/>
        <v>896</v>
      </c>
      <c r="CGE43" s="68">
        <f t="shared" si="1662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63"/>
        <v>1204</v>
      </c>
      <c r="CGM43" s="68">
        <f t="shared" si="1664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65"/>
        <v>221</v>
      </c>
      <c r="CGU43" s="68">
        <f t="shared" si="1666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67"/>
        <v>72</v>
      </c>
      <c r="CHC43" s="68">
        <f t="shared" si="1668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69"/>
        <v>1407</v>
      </c>
      <c r="CHK43" s="68">
        <f t="shared" si="1670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71"/>
        <v>651</v>
      </c>
      <c r="CHS43" s="68">
        <f t="shared" si="1672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73"/>
        <v>800</v>
      </c>
      <c r="CIA43" s="68">
        <f t="shared" si="1674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75"/>
        <v>1433</v>
      </c>
      <c r="CII43" s="68">
        <f t="shared" si="1676"/>
        <v>238.83333333333334</v>
      </c>
      <c r="CIJ43" s="48"/>
      <c r="CIK43" s="49"/>
      <c r="CIL43" s="49"/>
      <c r="CIM43" s="49"/>
      <c r="CIN43" s="49"/>
      <c r="CIO43" s="49"/>
      <c r="CIP43" s="67">
        <f t="shared" si="1677"/>
        <v>0</v>
      </c>
      <c r="CIQ43" s="68">
        <f t="shared" si="1678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79"/>
        <v>599</v>
      </c>
      <c r="CIY43" s="68">
        <f t="shared" si="1680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81"/>
        <v>693</v>
      </c>
      <c r="CJG43" s="68">
        <f t="shared" si="1682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83"/>
        <v>806</v>
      </c>
      <c r="CJO43" s="184">
        <f t="shared" si="1684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85"/>
        <v>679</v>
      </c>
      <c r="CJW43" s="68">
        <f t="shared" si="1686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24"/>
        <v>1046</v>
      </c>
      <c r="CKE43" s="68">
        <f t="shared" si="1687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88"/>
        <v>740</v>
      </c>
      <c r="CKM43" s="68">
        <f t="shared" si="1689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90"/>
        <v>988</v>
      </c>
      <c r="CKU43" s="68">
        <f t="shared" si="1691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92"/>
        <v>983</v>
      </c>
      <c r="CLC43" s="68">
        <f t="shared" si="1693"/>
        <v>163.83333333333334</v>
      </c>
      <c r="CLD43" s="48"/>
      <c r="CLE43" s="49"/>
      <c r="CLF43" s="49"/>
      <c r="CLG43" s="49"/>
      <c r="CLH43" s="49"/>
      <c r="CLI43" s="49"/>
      <c r="CLJ43" s="67">
        <f t="shared" si="1694"/>
        <v>0</v>
      </c>
      <c r="CLK43" s="68">
        <f t="shared" si="1695"/>
        <v>0</v>
      </c>
      <c r="CLL43" s="48"/>
      <c r="CLM43" s="49"/>
      <c r="CLN43" s="49"/>
      <c r="CLO43" s="49"/>
      <c r="CLP43" s="49"/>
      <c r="CLQ43" s="49"/>
      <c r="CLR43" s="67">
        <f t="shared" si="1696"/>
        <v>0</v>
      </c>
      <c r="CLS43" s="68">
        <f t="shared" si="1697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98"/>
        <v>1213</v>
      </c>
      <c r="CMA43" s="68">
        <f t="shared" si="1699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700"/>
        <v>644</v>
      </c>
      <c r="CMI43" s="68">
        <f t="shared" si="1701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702"/>
        <v>329</v>
      </c>
      <c r="CMQ43" s="68">
        <f t="shared" si="1703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704"/>
        <v>1000</v>
      </c>
      <c r="CMY43" s="68">
        <f t="shared" si="1705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706"/>
        <v>678</v>
      </c>
      <c r="CNG43" s="68">
        <f t="shared" si="1707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708"/>
        <v>765</v>
      </c>
      <c r="CNO43" s="68">
        <f t="shared" si="1709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710"/>
        <v>501</v>
      </c>
      <c r="CNW43" s="68">
        <f t="shared" si="1711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12"/>
        <v>767</v>
      </c>
      <c r="COE43" s="68">
        <f t="shared" si="1713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14"/>
        <v>1068</v>
      </c>
      <c r="COM43" s="68">
        <f t="shared" si="1715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16"/>
        <v>881</v>
      </c>
      <c r="COU43" s="68">
        <f t="shared" si="1717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18"/>
        <v>0</v>
      </c>
      <c r="CPC43" s="68">
        <f t="shared" si="1719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20"/>
        <v>884</v>
      </c>
      <c r="CPK43" s="68">
        <f t="shared" si="1721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22"/>
        <v>0</v>
      </c>
      <c r="CPS43" s="68">
        <f t="shared" si="1723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24"/>
        <v>1298</v>
      </c>
      <c r="CQA43" s="68">
        <f t="shared" si="1725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26"/>
        <v>1300</v>
      </c>
      <c r="CQI43" s="68">
        <f t="shared" si="1727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28"/>
        <v>330</v>
      </c>
      <c r="CQQ43" s="68">
        <f t="shared" si="1729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30"/>
        <v>698</v>
      </c>
      <c r="CQY43" s="68">
        <f t="shared" si="1731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32"/>
        <v>554</v>
      </c>
      <c r="CRG43" s="68">
        <f t="shared" si="1733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34"/>
        <v>660</v>
      </c>
      <c r="CRO43" s="68">
        <f t="shared" si="1735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36"/>
        <v>549</v>
      </c>
      <c r="CRW43" s="68">
        <f t="shared" si="1737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38"/>
        <v>679</v>
      </c>
      <c r="CSE43" s="68">
        <f t="shared" si="1739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40"/>
        <v>0</v>
      </c>
      <c r="CSM43" s="68">
        <f t="shared" si="1741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42"/>
        <v>213</v>
      </c>
      <c r="CSU43" s="68">
        <f t="shared" si="1743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44"/>
        <v>882</v>
      </c>
      <c r="CTC43" s="68">
        <f t="shared" si="1745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46"/>
        <v>437</v>
      </c>
      <c r="CTK43" s="68">
        <f t="shared" si="1747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48"/>
        <v>1221</v>
      </c>
      <c r="CTS43" s="68">
        <f t="shared" si="1749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50"/>
        <v>331</v>
      </c>
      <c r="CUA43" s="68">
        <f t="shared" si="1751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52"/>
        <v>211</v>
      </c>
      <c r="CUI43" s="68">
        <f t="shared" si="1753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54"/>
        <v>593</v>
      </c>
      <c r="CUQ43" s="68">
        <f t="shared" si="1755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56"/>
        <v>685</v>
      </c>
      <c r="CUY43" s="68">
        <f t="shared" si="1757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58"/>
        <v>761</v>
      </c>
      <c r="CVG43" s="68">
        <f t="shared" si="1759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60"/>
        <v>661</v>
      </c>
      <c r="CVO43" s="68">
        <f t="shared" si="1761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62"/>
        <v>479</v>
      </c>
      <c r="CVW43" s="68">
        <f t="shared" si="1763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64"/>
        <v>1010</v>
      </c>
      <c r="CWE43" s="68">
        <f t="shared" si="1765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66"/>
        <v>1111</v>
      </c>
      <c r="CWM43" s="68">
        <f t="shared" si="1767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68"/>
        <v>801</v>
      </c>
      <c r="CWU43" s="68">
        <f t="shared" si="1769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70"/>
        <v>718</v>
      </c>
      <c r="CXC43" s="43">
        <f t="shared" si="1771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72"/>
        <v>938</v>
      </c>
      <c r="CXK43" s="43">
        <f t="shared" si="1773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74"/>
        <v>1478</v>
      </c>
      <c r="CXS43" s="43">
        <f t="shared" si="1775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76"/>
        <v>1420</v>
      </c>
      <c r="CYA43" s="43">
        <f t="shared" si="1777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78"/>
        <v>1154</v>
      </c>
      <c r="CYI43" s="43">
        <f t="shared" si="1779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80"/>
        <v>330</v>
      </c>
      <c r="CYQ43" s="43">
        <f t="shared" si="1781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82"/>
        <v>1308</v>
      </c>
      <c r="CYY43" s="43">
        <f t="shared" si="1783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84"/>
        <v>875</v>
      </c>
      <c r="CZG43" s="43">
        <f t="shared" si="1785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86"/>
        <v>1618</v>
      </c>
      <c r="CZO43" s="43">
        <f t="shared" si="1787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88"/>
        <v>819</v>
      </c>
      <c r="CZW43" s="43">
        <f t="shared" si="1789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90"/>
        <v>880</v>
      </c>
      <c r="DAE43" s="68">
        <f t="shared" si="1791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92"/>
        <v>0</v>
      </c>
      <c r="DAM43" s="68">
        <f t="shared" si="1793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94"/>
        <v>659</v>
      </c>
      <c r="DAU43" s="68">
        <f t="shared" si="1795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96"/>
        <v>439</v>
      </c>
      <c r="DBC43" s="68">
        <f t="shared" si="1797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98"/>
        <v>1562</v>
      </c>
      <c r="DBK43" s="68">
        <f t="shared" si="1799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800"/>
        <v>0</v>
      </c>
      <c r="DBS43" s="68">
        <f t="shared" si="1801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802"/>
        <v>662</v>
      </c>
      <c r="DCA43" s="68">
        <f t="shared" si="1803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804"/>
        <v>796</v>
      </c>
      <c r="DCI43" s="68">
        <f t="shared" si="1805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6"/>
        <v>400</v>
      </c>
      <c r="DCQ43" s="68">
        <f t="shared" si="1807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808"/>
        <v>1049</v>
      </c>
      <c r="DCY43" s="68">
        <f t="shared" si="1809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810"/>
        <v>620</v>
      </c>
      <c r="DDG43" s="68">
        <f t="shared" si="1811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12"/>
        <v>901</v>
      </c>
      <c r="DDO43" s="43">
        <f t="shared" si="1813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14"/>
        <v>1000</v>
      </c>
      <c r="DDW43" s="43">
        <f t="shared" si="1815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16"/>
        <v>1255</v>
      </c>
      <c r="DEE43" s="43">
        <f t="shared" si="1817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18"/>
        <v>688</v>
      </c>
      <c r="DEM43" s="43">
        <f t="shared" si="1819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20"/>
        <v>620</v>
      </c>
      <c r="DEU43" s="43">
        <f t="shared" si="1821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22"/>
        <v>1605</v>
      </c>
      <c r="DFC43" s="43">
        <f t="shared" si="1823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24"/>
        <v>1011</v>
      </c>
      <c r="DFK43" s="43">
        <f t="shared" si="1825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26"/>
        <v>696</v>
      </c>
      <c r="DFS43" s="68">
        <f t="shared" si="1827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28"/>
        <v>802</v>
      </c>
      <c r="DGA43" s="43">
        <f t="shared" si="1829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30"/>
        <v>660</v>
      </c>
      <c r="DGI43" s="43">
        <f t="shared" si="1831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32"/>
        <v>859</v>
      </c>
      <c r="DGQ43" s="68">
        <f t="shared" si="1833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34"/>
        <v>708</v>
      </c>
      <c r="DGY43" s="68">
        <f t="shared" si="1835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36"/>
        <v>1704</v>
      </c>
      <c r="DHG43" s="68">
        <f t="shared" si="1837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38"/>
        <v>600</v>
      </c>
      <c r="DHO43" s="68">
        <f t="shared" si="1839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40"/>
        <v>0</v>
      </c>
      <c r="DHW43" s="68">
        <f t="shared" si="1841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42"/>
        <v>480</v>
      </c>
      <c r="DIE43" s="68">
        <f t="shared" si="1843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44"/>
        <v>441</v>
      </c>
      <c r="DIM43" s="68">
        <f t="shared" si="1845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46"/>
        <v>700</v>
      </c>
      <c r="DIU43" s="68">
        <f t="shared" si="1847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48"/>
        <v>1165</v>
      </c>
      <c r="DJC43" s="68">
        <f t="shared" si="1849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50"/>
        <v>803</v>
      </c>
      <c r="DJK43" s="68">
        <f t="shared" si="1851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52"/>
        <v>397</v>
      </c>
      <c r="DJS43" s="68">
        <f t="shared" si="1853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54"/>
        <v>1085</v>
      </c>
      <c r="DKA43" s="68">
        <f t="shared" si="1855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56"/>
        <v>1022</v>
      </c>
      <c r="DKI43" s="68">
        <f t="shared" si="1857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58"/>
        <v>546</v>
      </c>
      <c r="DKQ43" s="68">
        <f t="shared" si="1859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60"/>
        <v>1136</v>
      </c>
      <c r="DKY43" s="68">
        <f t="shared" si="1861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62"/>
        <v>1163</v>
      </c>
      <c r="DLG43" s="68">
        <f t="shared" si="1863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64"/>
        <v>390</v>
      </c>
      <c r="DLO43" s="68">
        <f t="shared" si="1865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66"/>
        <v>1848</v>
      </c>
      <c r="DLW43" s="68">
        <f t="shared" si="1867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68"/>
        <v>2227</v>
      </c>
      <c r="DME43" s="68">
        <f t="shared" si="1869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70"/>
        <v>109</v>
      </c>
      <c r="DMM43" s="68">
        <f t="shared" si="1871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72"/>
        <v>1096</v>
      </c>
      <c r="DMU43" s="68">
        <f t="shared" si="1873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74"/>
        <v>1215</v>
      </c>
      <c r="DNC43" s="68">
        <f t="shared" si="1875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76"/>
        <v>896</v>
      </c>
      <c r="DNK43" s="68">
        <f t="shared" si="1877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78"/>
        <v>799</v>
      </c>
      <c r="DNS43" s="68">
        <f t="shared" si="1879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80"/>
        <v>720</v>
      </c>
      <c r="DOA43" s="68">
        <f t="shared" si="1881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82"/>
        <v>721</v>
      </c>
      <c r="DOI43" s="68">
        <f t="shared" si="1883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84"/>
        <v>1318</v>
      </c>
      <c r="DOQ43" s="68">
        <f t="shared" si="1885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86"/>
        <v>1213</v>
      </c>
      <c r="DOY43" s="68">
        <f t="shared" si="1887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88"/>
        <v>499</v>
      </c>
      <c r="DPG43" s="68">
        <f t="shared" si="1889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90"/>
        <v>1214</v>
      </c>
      <c r="DPO43" s="68">
        <f t="shared" si="1891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92"/>
        <v>443</v>
      </c>
      <c r="DPW43" s="492">
        <f t="shared" si="1893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94"/>
        <v>1262</v>
      </c>
      <c r="DQE43" s="492">
        <f t="shared" si="1895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96"/>
        <v>1110</v>
      </c>
      <c r="DQM43" s="492">
        <f t="shared" si="1897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98"/>
        <v>869</v>
      </c>
      <c r="DQU43" s="68">
        <f t="shared" si="1899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900"/>
        <v>551</v>
      </c>
      <c r="DRC43" s="492">
        <f t="shared" si="1901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902"/>
        <v>528</v>
      </c>
      <c r="DRK43" s="492">
        <f t="shared" si="1903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99"/>
        <v>1093</v>
      </c>
      <c r="DRS43" s="68">
        <f t="shared" si="1600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601"/>
        <v>1498</v>
      </c>
      <c r="DSA43" s="68">
        <f t="shared" si="1602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603"/>
        <v>0</v>
      </c>
      <c r="DSI43" s="68">
        <f t="shared" si="1604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605"/>
        <v>1455</v>
      </c>
      <c r="DSQ43" s="68">
        <f t="shared" si="1606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607"/>
        <v>405</v>
      </c>
      <c r="DSY43" s="68">
        <f t="shared" si="1608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609"/>
        <v>1159</v>
      </c>
      <c r="DTG43" s="68">
        <f t="shared" si="1610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611"/>
        <v>795</v>
      </c>
      <c r="DTO43" s="68">
        <f t="shared" si="1612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13"/>
        <v>881</v>
      </c>
      <c r="DTW43" s="68">
        <f t="shared" si="1614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15"/>
        <v>0</v>
      </c>
      <c r="DUE43" s="68">
        <f t="shared" si="1616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7"/>
        <v>869</v>
      </c>
      <c r="DUM43" s="68">
        <f t="shared" si="1618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19"/>
        <v>370</v>
      </c>
      <c r="DUU43" s="68">
        <f t="shared" si="1620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21"/>
        <v>800</v>
      </c>
      <c r="DVC43" s="68">
        <f t="shared" si="1622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23"/>
        <v>1204</v>
      </c>
      <c r="DVK43" s="68">
        <f t="shared" si="1624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25"/>
        <v>441</v>
      </c>
      <c r="DVS43" s="68">
        <f t="shared" si="1626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27"/>
        <v>584</v>
      </c>
      <c r="DWA43" s="68">
        <f t="shared" si="1628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29"/>
        <v>903</v>
      </c>
      <c r="DWI43" s="68">
        <f t="shared" si="1630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31"/>
        <v>661</v>
      </c>
      <c r="DWQ43" s="68">
        <f t="shared" si="1632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33"/>
        <v>587</v>
      </c>
      <c r="DWY43" s="68">
        <f t="shared" si="1634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35"/>
        <v>0</v>
      </c>
      <c r="DXG43" s="68">
        <f t="shared" si="1636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37"/>
        <v>700</v>
      </c>
      <c r="DXO43" s="68">
        <f t="shared" si="1638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8"/>
        <v>611</v>
      </c>
      <c r="DXW43" s="68">
        <f t="shared" si="1329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30"/>
        <v>882</v>
      </c>
      <c r="DYE43" s="68">
        <f t="shared" si="1331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32"/>
        <v>500</v>
      </c>
      <c r="DYM43" s="68">
        <f t="shared" si="1333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34"/>
        <v>540</v>
      </c>
      <c r="DYU43" s="68">
        <f t="shared" si="1335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36"/>
        <v>801</v>
      </c>
      <c r="DZC43" s="68">
        <f t="shared" si="1337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8"/>
        <v>1016</v>
      </c>
      <c r="DZK43" s="68">
        <f t="shared" si="1339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40"/>
        <v>980</v>
      </c>
      <c r="DZS43" s="68">
        <f t="shared" si="1341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42"/>
        <v>300</v>
      </c>
      <c r="EAA43" s="68">
        <f t="shared" si="1343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44"/>
        <v>200</v>
      </c>
      <c r="EAI43" s="68">
        <f t="shared" si="1345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46"/>
        <v>700</v>
      </c>
      <c r="EAQ43" s="68">
        <f t="shared" si="1347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8"/>
        <v>920</v>
      </c>
      <c r="EAY43" s="68">
        <f t="shared" si="1349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50"/>
        <v>880</v>
      </c>
      <c r="EBG43" s="68">
        <f t="shared" si="1351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52"/>
        <v>611</v>
      </c>
      <c r="EBO43" s="68">
        <f t="shared" si="1353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54"/>
        <v>296</v>
      </c>
      <c r="EBW43" s="68">
        <f t="shared" si="1355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56"/>
        <v>880</v>
      </c>
      <c r="ECE43" s="68">
        <f t="shared" si="1357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8"/>
        <v>620</v>
      </c>
      <c r="ECM43" s="68">
        <f t="shared" si="1359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60"/>
        <v>1123</v>
      </c>
      <c r="ECU43" s="68">
        <f t="shared" si="1361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62"/>
        <v>725</v>
      </c>
      <c r="EDC43" s="68">
        <f t="shared" si="1363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64"/>
        <v>441</v>
      </c>
      <c r="EDK43" s="68">
        <f t="shared" si="1365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66"/>
        <v>600</v>
      </c>
      <c r="EDS43" s="68">
        <f t="shared" si="1367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8"/>
        <v>1138</v>
      </c>
      <c r="EEA43" s="68">
        <f t="shared" si="1369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70"/>
        <v>116</v>
      </c>
      <c r="EEI43" s="68">
        <f t="shared" si="1371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72"/>
        <v>554</v>
      </c>
      <c r="EEQ43" s="68">
        <f t="shared" si="1373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74"/>
        <v>569</v>
      </c>
      <c r="EEY43" s="68">
        <f t="shared" si="1375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76"/>
        <v>1078</v>
      </c>
      <c r="EFG43" s="68">
        <f t="shared" si="1377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8"/>
        <v>1183</v>
      </c>
      <c r="EFO43" s="68">
        <f t="shared" si="1379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80"/>
        <v>0</v>
      </c>
      <c r="EFW43" s="68">
        <f t="shared" si="1381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82"/>
        <v>1241</v>
      </c>
      <c r="EGE43" s="68">
        <f t="shared" si="1383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84"/>
        <v>399</v>
      </c>
      <c r="EGM43" s="68">
        <f t="shared" si="1385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86"/>
        <v>420</v>
      </c>
      <c r="EGU43" s="68">
        <f t="shared" si="1387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8"/>
        <v>511</v>
      </c>
      <c r="EHC43" s="68">
        <f t="shared" si="1389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90"/>
        <v>612</v>
      </c>
      <c r="EHK43" s="68">
        <f t="shared" si="1391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92"/>
        <v>160</v>
      </c>
      <c r="EHS43" s="68">
        <f t="shared" si="1393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94"/>
        <v>599</v>
      </c>
      <c r="EIA43" s="68">
        <f t="shared" si="1395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96"/>
        <v>1421</v>
      </c>
      <c r="EII43" s="68">
        <f t="shared" si="1397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8"/>
        <v>996</v>
      </c>
      <c r="EIQ43" s="68">
        <f t="shared" si="1399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400"/>
        <v>998</v>
      </c>
      <c r="EIY43" s="68">
        <f t="shared" si="1401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402"/>
        <v>663</v>
      </c>
      <c r="EJG43" s="68">
        <f t="shared" si="1403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404"/>
        <v>458</v>
      </c>
      <c r="EJO43" s="68">
        <f t="shared" si="1405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406"/>
        <v>618</v>
      </c>
      <c r="EJW43" s="68">
        <f t="shared" si="1407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8"/>
        <v>1010</v>
      </c>
      <c r="EKE43" s="68">
        <f t="shared" si="1409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10"/>
        <v>723</v>
      </c>
      <c r="EKM43" s="68">
        <f t="shared" si="1411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12"/>
        <v>1203</v>
      </c>
      <c r="EKU43" s="184">
        <f t="shared" si="1413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14"/>
        <v>840</v>
      </c>
      <c r="ELD43" s="211">
        <f t="shared" si="1415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16"/>
        <v>779</v>
      </c>
      <c r="ELL43" s="211">
        <f t="shared" si="1417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8"/>
        <v>110</v>
      </c>
      <c r="ELT43" s="211">
        <f t="shared" si="1419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20"/>
        <v>1329</v>
      </c>
      <c r="EMB43" s="211">
        <f t="shared" si="1421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22"/>
        <v>713</v>
      </c>
      <c r="EMJ43" s="211">
        <f t="shared" si="1423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24"/>
        <v>886</v>
      </c>
      <c r="EMR43" s="211">
        <f t="shared" si="1425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26"/>
        <v>898</v>
      </c>
      <c r="EMZ43" s="211">
        <f t="shared" si="1427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8"/>
        <v>271</v>
      </c>
      <c r="ENH43" s="211">
        <f t="shared" si="1429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30"/>
        <v>636</v>
      </c>
      <c r="ENP43" s="211">
        <f t="shared" si="1431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32"/>
        <v>116</v>
      </c>
      <c r="ENX43" s="211">
        <f t="shared" si="1433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34"/>
        <v>545</v>
      </c>
      <c r="EOF43" s="211">
        <f t="shared" si="1435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36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37"/>
        <v>724</v>
      </c>
      <c r="EOV43" s="211">
        <f t="shared" si="1438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9"/>
        <v>0</v>
      </c>
      <c r="EPD43" s="211">
        <f t="shared" si="1440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41"/>
        <v>1371</v>
      </c>
      <c r="EPL43" s="211">
        <f t="shared" si="1442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43"/>
        <v>112</v>
      </c>
      <c r="EPT43" s="211">
        <f t="shared" si="1444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5"/>
        <v>820</v>
      </c>
      <c r="EQB43" s="211">
        <f t="shared" si="1446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47"/>
        <v>2058</v>
      </c>
      <c r="EQJ43" s="211">
        <f t="shared" si="1448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9"/>
        <v>110</v>
      </c>
      <c r="EQR43" s="211">
        <f t="shared" si="1450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51"/>
        <v>579</v>
      </c>
      <c r="EQZ43" s="211">
        <f t="shared" si="1452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53"/>
        <v>220</v>
      </c>
      <c r="ERH43" s="211">
        <f t="shared" si="1454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55"/>
        <v>656</v>
      </c>
      <c r="ERP43" s="211">
        <f t="shared" si="1456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57"/>
        <v>973</v>
      </c>
      <c r="ERX43" s="211">
        <f t="shared" si="1458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9"/>
        <v>744</v>
      </c>
      <c r="ESF43" s="211">
        <f t="shared" si="1460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61"/>
        <v>230</v>
      </c>
      <c r="ESN43" s="211">
        <f t="shared" si="1462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63"/>
        <v>1210</v>
      </c>
      <c r="ESV43" s="211">
        <f t="shared" si="1464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65"/>
        <v>232</v>
      </c>
      <c r="ETD43" s="211">
        <f t="shared" si="1466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7"/>
        <v>0</v>
      </c>
      <c r="ETL43" s="211">
        <f t="shared" si="1468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9"/>
        <v>0</v>
      </c>
      <c r="ETT43" s="211">
        <f t="shared" si="1470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71"/>
        <v>929</v>
      </c>
      <c r="EUB43" s="211">
        <f t="shared" si="1472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73"/>
        <v>860</v>
      </c>
      <c r="EUJ43" s="211">
        <f t="shared" si="1474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75"/>
        <v>619</v>
      </c>
      <c r="EUR43" s="211">
        <f t="shared" si="1476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77"/>
        <v>480</v>
      </c>
      <c r="EUZ43" s="211">
        <f t="shared" si="1478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9"/>
        <v>844</v>
      </c>
      <c r="EVH43" s="211">
        <f t="shared" si="1480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81"/>
        <v>1061</v>
      </c>
      <c r="EVP43" s="211">
        <f t="shared" si="1482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83"/>
        <v>0</v>
      </c>
      <c r="EVX43" s="211">
        <f t="shared" si="1484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85"/>
        <v>191</v>
      </c>
      <c r="EWF43" s="211">
        <f t="shared" si="1486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87"/>
        <v>319</v>
      </c>
      <c r="EWN43" s="211">
        <f t="shared" si="1488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9"/>
        <v>99</v>
      </c>
      <c r="EWV43" s="211">
        <f t="shared" si="1490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91"/>
        <v>0</v>
      </c>
      <c r="EXD43" s="211">
        <f t="shared" si="1492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93"/>
        <v>150</v>
      </c>
      <c r="EXL43" s="211">
        <f t="shared" si="1494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95"/>
        <v>618</v>
      </c>
      <c r="EXT43" s="211">
        <f t="shared" si="1496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97"/>
        <v>800</v>
      </c>
      <c r="EYB43" s="211">
        <f t="shared" si="1498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9"/>
        <v>320</v>
      </c>
      <c r="EYJ43" s="211">
        <f t="shared" si="1500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501"/>
        <v>110</v>
      </c>
      <c r="EYR43" s="211">
        <f t="shared" si="1502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503"/>
        <v>359</v>
      </c>
      <c r="EYZ43" s="873">
        <f t="shared" si="1504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505"/>
        <v>1234</v>
      </c>
      <c r="EZH43" s="873">
        <f t="shared" si="1506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>
        <v>0</v>
      </c>
      <c r="EZO43" s="872">
        <f t="shared" si="1507"/>
        <v>498</v>
      </c>
      <c r="EZP43" s="873">
        <f t="shared" si="1508"/>
        <v>83</v>
      </c>
      <c r="EZQ43" s="458">
        <v>0</v>
      </c>
      <c r="EZR43" s="83"/>
      <c r="EZS43" s="83">
        <v>601</v>
      </c>
      <c r="EZT43" s="83">
        <v>0</v>
      </c>
      <c r="EZU43" s="83">
        <v>0</v>
      </c>
      <c r="EZV43" s="83">
        <v>0</v>
      </c>
      <c r="EZW43" s="872">
        <f t="shared" si="1509"/>
        <v>601</v>
      </c>
      <c r="EZX43" s="873">
        <f t="shared" si="1510"/>
        <v>100.16666666666667</v>
      </c>
      <c r="EZY43" s="195">
        <v>0</v>
      </c>
      <c r="EZZ43" s="49">
        <v>0</v>
      </c>
      <c r="FAA43" s="49"/>
      <c r="FAB43" s="49"/>
      <c r="FAC43" s="49"/>
      <c r="FAD43" s="49"/>
      <c r="FAE43" s="872">
        <f t="shared" si="1511"/>
        <v>0</v>
      </c>
      <c r="FAF43" s="873">
        <f t="shared" si="1512"/>
        <v>0</v>
      </c>
    </row>
    <row r="44" spans="1:4088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2016</v>
      </c>
      <c r="G44" s="24"/>
      <c r="H44" s="24"/>
      <c r="I44" s="360"/>
      <c r="J44" s="360">
        <f>SUMIF(SUMPK!$B:$B,$B:$B,SUMPK!$O:$O)</f>
        <v>0</v>
      </c>
      <c r="K44" s="24">
        <f t="shared" si="1226"/>
        <v>0</v>
      </c>
      <c r="L44" s="24">
        <f t="shared" si="1517"/>
        <v>2016</v>
      </c>
      <c r="M44" s="15">
        <f t="shared" si="1639"/>
        <v>2016</v>
      </c>
      <c r="N44" s="15">
        <v>103.16666666666667</v>
      </c>
      <c r="O44" s="276">
        <f t="shared" si="1229"/>
        <v>19.541195476575119</v>
      </c>
      <c r="P44" s="712">
        <v>18.5</v>
      </c>
      <c r="Q44" s="276">
        <f t="shared" si="1518"/>
        <v>653.83783783783781</v>
      </c>
      <c r="R44" s="277">
        <f t="shared" si="1519"/>
        <v>86.15384615384616</v>
      </c>
      <c r="S44" s="222">
        <v>2240</v>
      </c>
      <c r="T44" s="276">
        <f t="shared" si="1640"/>
        <v>23.4</v>
      </c>
      <c r="U44" s="278"/>
      <c r="V44" s="276">
        <f t="shared" si="1233"/>
        <v>23.4</v>
      </c>
      <c r="W44" s="279">
        <f t="shared" si="1234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904"/>
        <v>0</v>
      </c>
      <c r="AK44" s="43">
        <f t="shared" si="1905"/>
        <v>0</v>
      </c>
      <c r="AL44" s="48"/>
      <c r="AM44" s="49"/>
      <c r="AN44" s="49"/>
      <c r="AO44" s="49"/>
      <c r="AP44" s="49"/>
      <c r="AQ44" s="49"/>
      <c r="AR44" s="42">
        <f t="shared" si="1906"/>
        <v>0</v>
      </c>
      <c r="AS44" s="43">
        <f t="shared" si="1907"/>
        <v>0</v>
      </c>
      <c r="AT44" s="48"/>
      <c r="AU44" s="49"/>
      <c r="AV44" s="49"/>
      <c r="AW44" s="49"/>
      <c r="AX44" s="49"/>
      <c r="AY44" s="49"/>
      <c r="AZ44" s="42">
        <f t="shared" si="1908"/>
        <v>0</v>
      </c>
      <c r="BA44" s="43">
        <f t="shared" si="1909"/>
        <v>0</v>
      </c>
      <c r="BB44" s="48"/>
      <c r="BC44" s="49"/>
      <c r="BD44" s="49"/>
      <c r="BE44" s="49"/>
      <c r="BF44" s="49"/>
      <c r="BG44" s="49"/>
      <c r="BH44" s="42">
        <f t="shared" si="1910"/>
        <v>0</v>
      </c>
      <c r="BI44" s="43">
        <f t="shared" si="1911"/>
        <v>0</v>
      </c>
      <c r="BJ44" s="48"/>
      <c r="BK44" s="49"/>
      <c r="BL44" s="49"/>
      <c r="BM44" s="49"/>
      <c r="BN44" s="49"/>
      <c r="BO44" s="49"/>
      <c r="BP44" s="42">
        <f t="shared" si="1912"/>
        <v>0</v>
      </c>
      <c r="BQ44" s="43">
        <f t="shared" si="1913"/>
        <v>0</v>
      </c>
      <c r="BR44" s="48"/>
      <c r="BS44" s="49"/>
      <c r="BT44" s="49"/>
      <c r="BU44" s="49"/>
      <c r="BV44" s="49"/>
      <c r="BW44" s="49"/>
      <c r="BX44" s="42">
        <f t="shared" si="1914"/>
        <v>0</v>
      </c>
      <c r="BY44" s="43">
        <f t="shared" si="1915"/>
        <v>0</v>
      </c>
      <c r="BZ44" s="48"/>
      <c r="CA44" s="49"/>
      <c r="CB44" s="49"/>
      <c r="CC44" s="49">
        <v>210</v>
      </c>
      <c r="CD44" s="49"/>
      <c r="CE44" s="49"/>
      <c r="CF44" s="42">
        <f t="shared" si="1916"/>
        <v>210</v>
      </c>
      <c r="CG44" s="43">
        <f t="shared" si="1917"/>
        <v>35</v>
      </c>
      <c r="CH44" s="48"/>
      <c r="CI44" s="49"/>
      <c r="CJ44" s="49"/>
      <c r="CK44" s="49">
        <v>199</v>
      </c>
      <c r="CL44" s="49"/>
      <c r="CM44" s="49"/>
      <c r="CN44" s="42">
        <f t="shared" si="1918"/>
        <v>199</v>
      </c>
      <c r="CO44" s="43">
        <f t="shared" si="1919"/>
        <v>33.166666666666664</v>
      </c>
      <c r="CP44" s="48"/>
      <c r="CQ44" s="49"/>
      <c r="CR44" s="49"/>
      <c r="CS44" s="49"/>
      <c r="CT44" s="49"/>
      <c r="CU44" s="49"/>
      <c r="CV44" s="42">
        <f t="shared" si="1920"/>
        <v>0</v>
      </c>
      <c r="CW44" s="43">
        <f t="shared" si="1921"/>
        <v>0</v>
      </c>
      <c r="CX44" s="48"/>
      <c r="CY44" s="49"/>
      <c r="CZ44" s="49"/>
      <c r="DA44" s="49"/>
      <c r="DB44" s="49"/>
      <c r="DC44" s="49"/>
      <c r="DD44" s="42">
        <f t="shared" si="1922"/>
        <v>0</v>
      </c>
      <c r="DE44" s="43">
        <f t="shared" si="1923"/>
        <v>0</v>
      </c>
      <c r="DF44" s="48"/>
      <c r="DG44" s="49"/>
      <c r="DH44" s="49"/>
      <c r="DI44" s="49"/>
      <c r="DJ44" s="49"/>
      <c r="DK44" s="49">
        <v>181</v>
      </c>
      <c r="DL44" s="42">
        <f t="shared" si="1924"/>
        <v>181</v>
      </c>
      <c r="DM44" s="43">
        <f t="shared" si="1925"/>
        <v>30.166666666666668</v>
      </c>
      <c r="DN44" s="48"/>
      <c r="DO44" s="49"/>
      <c r="DP44" s="49"/>
      <c r="DQ44" s="49"/>
      <c r="DR44" s="49"/>
      <c r="DS44" s="49"/>
      <c r="DT44" s="42">
        <f t="shared" si="1926"/>
        <v>0</v>
      </c>
      <c r="DU44" s="43">
        <f t="shared" si="1927"/>
        <v>0</v>
      </c>
      <c r="DV44" s="48"/>
      <c r="DW44" s="49"/>
      <c r="DX44" s="49"/>
      <c r="DY44" s="49"/>
      <c r="DZ44" s="49"/>
      <c r="EA44" s="49">
        <v>412</v>
      </c>
      <c r="EB44" s="42">
        <f t="shared" si="1928"/>
        <v>412</v>
      </c>
      <c r="EC44" s="43">
        <f t="shared" si="1929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30"/>
        <v>963</v>
      </c>
      <c r="EK44" s="43">
        <f t="shared" si="1931"/>
        <v>160.5</v>
      </c>
      <c r="EL44" s="48"/>
      <c r="EM44" s="49"/>
      <c r="EN44" s="49"/>
      <c r="EO44" s="49"/>
      <c r="EP44" s="49"/>
      <c r="EQ44" s="49"/>
      <c r="ER44" s="42">
        <f t="shared" si="1932"/>
        <v>0</v>
      </c>
      <c r="ES44" s="43">
        <f t="shared" si="1933"/>
        <v>0</v>
      </c>
      <c r="ET44" s="48"/>
      <c r="EU44" s="49"/>
      <c r="EV44" s="49"/>
      <c r="EW44" s="49"/>
      <c r="EX44" s="49"/>
      <c r="EY44" s="49"/>
      <c r="EZ44" s="42">
        <f t="shared" si="1934"/>
        <v>0</v>
      </c>
      <c r="FA44" s="43">
        <f t="shared" si="1935"/>
        <v>0</v>
      </c>
      <c r="FB44" s="48"/>
      <c r="FC44" s="49"/>
      <c r="FD44" s="49"/>
      <c r="FE44" s="49"/>
      <c r="FF44" s="49"/>
      <c r="FG44" s="49"/>
      <c r="FH44" s="42">
        <f t="shared" si="1936"/>
        <v>0</v>
      </c>
      <c r="FI44" s="43">
        <f t="shared" si="1937"/>
        <v>0</v>
      </c>
      <c r="FJ44" s="48"/>
      <c r="FK44" s="49"/>
      <c r="FL44" s="49"/>
      <c r="FM44" s="49"/>
      <c r="FN44" s="49"/>
      <c r="FO44" s="49"/>
      <c r="FP44" s="42">
        <f t="shared" si="1938"/>
        <v>0</v>
      </c>
      <c r="FQ44" s="43">
        <f t="shared" si="1939"/>
        <v>0</v>
      </c>
      <c r="FR44" s="48"/>
      <c r="FS44" s="49"/>
      <c r="FT44" s="49"/>
      <c r="FU44" s="49"/>
      <c r="FV44" s="49"/>
      <c r="FW44" s="49"/>
      <c r="FX44" s="42">
        <f t="shared" si="1940"/>
        <v>0</v>
      </c>
      <c r="FY44" s="43">
        <f t="shared" si="1941"/>
        <v>0</v>
      </c>
      <c r="FZ44" s="48"/>
      <c r="GA44" s="49">
        <v>300</v>
      </c>
      <c r="GB44" s="49"/>
      <c r="GC44" s="49"/>
      <c r="GD44" s="49"/>
      <c r="GE44" s="49"/>
      <c r="GF44" s="42">
        <f t="shared" si="1942"/>
        <v>300</v>
      </c>
      <c r="GG44" s="43">
        <f t="shared" si="1943"/>
        <v>50</v>
      </c>
      <c r="GH44" s="48"/>
      <c r="GI44" s="49"/>
      <c r="GJ44" s="49"/>
      <c r="GK44" s="49"/>
      <c r="GL44" s="49"/>
      <c r="GM44" s="49"/>
      <c r="GN44" s="42">
        <f t="shared" si="1944"/>
        <v>0</v>
      </c>
      <c r="GO44" s="43">
        <f t="shared" si="1945"/>
        <v>0</v>
      </c>
      <c r="GP44" s="48"/>
      <c r="GQ44" s="49"/>
      <c r="GR44" s="49"/>
      <c r="GS44" s="49">
        <v>400</v>
      </c>
      <c r="GT44" s="49"/>
      <c r="GU44" s="49"/>
      <c r="GV44" s="42">
        <f t="shared" si="1946"/>
        <v>400</v>
      </c>
      <c r="GW44" s="43">
        <f t="shared" si="1947"/>
        <v>66.666666666666671</v>
      </c>
      <c r="GX44" s="48"/>
      <c r="GY44" s="49"/>
      <c r="GZ44" s="49"/>
      <c r="HA44" s="49"/>
      <c r="HB44" s="49"/>
      <c r="HC44" s="49"/>
      <c r="HD44" s="42">
        <f t="shared" si="1948"/>
        <v>0</v>
      </c>
      <c r="HE44" s="43">
        <f t="shared" si="1949"/>
        <v>0</v>
      </c>
      <c r="HF44" s="48"/>
      <c r="HG44" s="49"/>
      <c r="HH44" s="49"/>
      <c r="HI44" s="49"/>
      <c r="HJ44" s="49"/>
      <c r="HK44" s="49"/>
      <c r="HL44" s="42">
        <f t="shared" si="1950"/>
        <v>0</v>
      </c>
      <c r="HM44" s="43">
        <f t="shared" si="1951"/>
        <v>0</v>
      </c>
      <c r="HN44" s="82"/>
      <c r="HO44" s="83"/>
      <c r="HP44" s="83"/>
      <c r="HQ44" s="83"/>
      <c r="HR44" s="83">
        <v>204</v>
      </c>
      <c r="HS44" s="83"/>
      <c r="HT44" s="42">
        <f t="shared" si="1952"/>
        <v>204</v>
      </c>
      <c r="HU44" s="43">
        <f t="shared" si="1953"/>
        <v>34</v>
      </c>
      <c r="HV44" s="48"/>
      <c r="HW44" s="49"/>
      <c r="HX44" s="49"/>
      <c r="HY44" s="49"/>
      <c r="HZ44" s="49"/>
      <c r="IA44" s="49"/>
      <c r="IB44" s="42">
        <f t="shared" si="1954"/>
        <v>0</v>
      </c>
      <c r="IC44" s="43">
        <f t="shared" si="1955"/>
        <v>0</v>
      </c>
      <c r="ID44" s="48"/>
      <c r="IE44" s="49"/>
      <c r="IF44" s="49"/>
      <c r="IG44" s="49"/>
      <c r="IH44" s="49"/>
      <c r="II44" s="49"/>
      <c r="IJ44" s="42">
        <f t="shared" si="1956"/>
        <v>0</v>
      </c>
      <c r="IK44" s="43">
        <f t="shared" si="1957"/>
        <v>0</v>
      </c>
      <c r="IL44" s="48">
        <v>197</v>
      </c>
      <c r="IM44" s="49"/>
      <c r="IN44" s="49"/>
      <c r="IO44" s="49"/>
      <c r="IP44" s="49"/>
      <c r="IQ44" s="49"/>
      <c r="IR44" s="67">
        <f t="shared" si="1958"/>
        <v>197</v>
      </c>
      <c r="IS44" s="68">
        <f t="shared" si="1959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60"/>
        <v>211</v>
      </c>
      <c r="JA44" s="68">
        <f t="shared" si="1961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62"/>
        <v>200</v>
      </c>
      <c r="JI44" s="68">
        <f t="shared" si="1963"/>
        <v>33.333333333333336</v>
      </c>
      <c r="JJ44" s="48"/>
      <c r="JK44" s="49"/>
      <c r="JL44" s="49"/>
      <c r="JM44" s="49"/>
      <c r="JN44" s="49"/>
      <c r="JO44" s="49"/>
      <c r="JP44" s="42">
        <f t="shared" si="1964"/>
        <v>0</v>
      </c>
      <c r="JQ44" s="43">
        <f t="shared" si="1965"/>
        <v>0</v>
      </c>
      <c r="JR44" s="48"/>
      <c r="JS44" s="49"/>
      <c r="JT44" s="49"/>
      <c r="JU44" s="49"/>
      <c r="JV44" s="49"/>
      <c r="JW44" s="49"/>
      <c r="JX44" s="42">
        <f t="shared" si="1966"/>
        <v>0</v>
      </c>
      <c r="JY44" s="43">
        <f t="shared" si="1967"/>
        <v>0</v>
      </c>
      <c r="JZ44" s="48"/>
      <c r="KA44" s="49"/>
      <c r="KB44" s="49"/>
      <c r="KC44" s="49"/>
      <c r="KD44" s="49"/>
      <c r="KE44" s="49"/>
      <c r="KF44" s="42">
        <f t="shared" si="1968"/>
        <v>0</v>
      </c>
      <c r="KG44" s="43">
        <f t="shared" si="1969"/>
        <v>0</v>
      </c>
      <c r="KH44" s="48"/>
      <c r="KI44" s="49"/>
      <c r="KJ44" s="49"/>
      <c r="KK44" s="49"/>
      <c r="KL44" s="49"/>
      <c r="KM44" s="49"/>
      <c r="KN44" s="67">
        <f t="shared" si="1970"/>
        <v>0</v>
      </c>
      <c r="KO44" s="68">
        <f t="shared" si="1971"/>
        <v>0</v>
      </c>
      <c r="KP44" s="48"/>
      <c r="KQ44" s="49"/>
      <c r="KR44" s="49"/>
      <c r="KS44" s="49">
        <v>210</v>
      </c>
      <c r="KT44" s="49"/>
      <c r="KU44" s="49"/>
      <c r="KV44" s="67">
        <f t="shared" si="1972"/>
        <v>210</v>
      </c>
      <c r="KW44" s="68">
        <f t="shared" si="1973"/>
        <v>35</v>
      </c>
      <c r="KX44" s="48"/>
      <c r="KY44" s="49"/>
      <c r="KZ44" s="49"/>
      <c r="LA44" s="49"/>
      <c r="LB44" s="49"/>
      <c r="LC44" s="49"/>
      <c r="LD44" s="67">
        <f t="shared" si="1974"/>
        <v>0</v>
      </c>
      <c r="LE44" s="68">
        <f t="shared" si="1975"/>
        <v>0</v>
      </c>
      <c r="LF44" s="48"/>
      <c r="LG44" s="49"/>
      <c r="LH44" s="49"/>
      <c r="LI44" s="49"/>
      <c r="LJ44" s="49"/>
      <c r="LK44" s="49"/>
      <c r="LL44" s="67">
        <f t="shared" si="1976"/>
        <v>0</v>
      </c>
      <c r="LM44" s="68">
        <f t="shared" si="1977"/>
        <v>0</v>
      </c>
      <c r="LN44" s="48"/>
      <c r="LO44" s="49"/>
      <c r="LP44" s="49"/>
      <c r="LQ44" s="49"/>
      <c r="LR44" s="49"/>
      <c r="LS44" s="49"/>
      <c r="LT44" s="67">
        <f t="shared" si="1978"/>
        <v>0</v>
      </c>
      <c r="LU44" s="68">
        <f t="shared" si="1979"/>
        <v>0</v>
      </c>
      <c r="LV44" s="48"/>
      <c r="LW44" s="49"/>
      <c r="LX44" s="49"/>
      <c r="LY44" s="49"/>
      <c r="LZ44" s="49"/>
      <c r="MA44" s="49"/>
      <c r="MB44" s="67">
        <f t="shared" si="1980"/>
        <v>0</v>
      </c>
      <c r="MC44" s="68">
        <f t="shared" si="1981"/>
        <v>0</v>
      </c>
      <c r="MD44" s="48"/>
      <c r="ME44" s="49"/>
      <c r="MF44" s="49"/>
      <c r="MG44" s="49"/>
      <c r="MH44" s="49">
        <v>200</v>
      </c>
      <c r="MI44" s="49"/>
      <c r="MJ44" s="67">
        <f t="shared" si="1982"/>
        <v>200</v>
      </c>
      <c r="MK44" s="68">
        <f t="shared" si="1983"/>
        <v>33.333333333333336</v>
      </c>
      <c r="ML44" s="48"/>
      <c r="MM44" s="49"/>
      <c r="MN44" s="49"/>
      <c r="MO44" s="49"/>
      <c r="MP44" s="49"/>
      <c r="MQ44" s="49"/>
      <c r="MR44" s="67">
        <f t="shared" si="1984"/>
        <v>0</v>
      </c>
      <c r="MS44" s="68">
        <f t="shared" si="1985"/>
        <v>0</v>
      </c>
      <c r="MT44" s="48"/>
      <c r="MU44" s="49"/>
      <c r="MV44" s="49"/>
      <c r="MW44" s="49"/>
      <c r="MX44" s="49"/>
      <c r="MY44" s="49"/>
      <c r="MZ44" s="67">
        <f t="shared" si="1986"/>
        <v>0</v>
      </c>
      <c r="NA44" s="68">
        <f t="shared" si="1987"/>
        <v>0</v>
      </c>
      <c r="NB44" s="48"/>
      <c r="NC44" s="49"/>
      <c r="ND44" s="49"/>
      <c r="NE44" s="49"/>
      <c r="NF44" s="49">
        <v>212</v>
      </c>
      <c r="NG44" s="49"/>
      <c r="NH44" s="67">
        <f t="shared" si="1988"/>
        <v>212</v>
      </c>
      <c r="NI44" s="68">
        <f t="shared" si="1989"/>
        <v>35.333333333333336</v>
      </c>
      <c r="NJ44" s="48"/>
      <c r="NK44" s="49"/>
      <c r="NL44" s="49"/>
      <c r="NM44" s="49"/>
      <c r="NN44" s="49"/>
      <c r="NO44" s="49"/>
      <c r="NP44" s="67">
        <f t="shared" si="1990"/>
        <v>0</v>
      </c>
      <c r="NQ44" s="68">
        <f t="shared" si="1991"/>
        <v>0</v>
      </c>
      <c r="NR44" s="48"/>
      <c r="NS44" s="49"/>
      <c r="NT44" s="49"/>
      <c r="NU44" s="49"/>
      <c r="NV44" s="49"/>
      <c r="NW44" s="49"/>
      <c r="NX44" s="67">
        <f t="shared" si="1992"/>
        <v>0</v>
      </c>
      <c r="NY44" s="68">
        <f t="shared" si="1993"/>
        <v>0</v>
      </c>
      <c r="NZ44" s="48"/>
      <c r="OA44" s="49"/>
      <c r="OB44" s="49"/>
      <c r="OC44" s="49"/>
      <c r="OD44" s="49"/>
      <c r="OE44" s="49"/>
      <c r="OF44" s="67">
        <f t="shared" si="1994"/>
        <v>0</v>
      </c>
      <c r="OG44" s="68">
        <f t="shared" si="1995"/>
        <v>0</v>
      </c>
      <c r="OH44" s="48"/>
      <c r="OI44" s="49"/>
      <c r="OJ44" s="49"/>
      <c r="OK44" s="49"/>
      <c r="OL44" s="49"/>
      <c r="OM44" s="49">
        <v>200</v>
      </c>
      <c r="ON44" s="67">
        <f t="shared" si="1996"/>
        <v>200</v>
      </c>
      <c r="OO44" s="68">
        <f t="shared" si="1997"/>
        <v>33.333333333333336</v>
      </c>
      <c r="OP44" s="48"/>
      <c r="OQ44" s="49"/>
      <c r="OR44" s="49"/>
      <c r="OS44" s="49"/>
      <c r="OT44" s="49"/>
      <c r="OU44" s="49"/>
      <c r="OV44" s="67">
        <f t="shared" si="1998"/>
        <v>0</v>
      </c>
      <c r="OW44" s="68">
        <f t="shared" si="1999"/>
        <v>0</v>
      </c>
      <c r="OX44" s="48"/>
      <c r="OY44" s="49"/>
      <c r="OZ44" s="49"/>
      <c r="PA44" s="49"/>
      <c r="PB44" s="49"/>
      <c r="PC44" s="49"/>
      <c r="PD44" s="67">
        <f t="shared" si="2000"/>
        <v>0</v>
      </c>
      <c r="PE44" s="68">
        <f t="shared" si="2001"/>
        <v>0</v>
      </c>
      <c r="PF44" s="48"/>
      <c r="PG44" s="49"/>
      <c r="PH44" s="49"/>
      <c r="PI44" s="49"/>
      <c r="PJ44" s="49"/>
      <c r="PK44" s="49"/>
      <c r="PL44" s="67">
        <f t="shared" si="2002"/>
        <v>0</v>
      </c>
      <c r="PM44" s="68">
        <f t="shared" si="2003"/>
        <v>0</v>
      </c>
      <c r="PN44" s="48"/>
      <c r="PO44" s="49"/>
      <c r="PP44" s="49"/>
      <c r="PQ44" s="49"/>
      <c r="PR44" s="49"/>
      <c r="PS44" s="49"/>
      <c r="PT44" s="67">
        <f t="shared" si="2004"/>
        <v>0</v>
      </c>
      <c r="PU44" s="68">
        <f t="shared" si="2005"/>
        <v>0</v>
      </c>
      <c r="PV44" s="106"/>
      <c r="PW44" s="107"/>
      <c r="PX44" s="107"/>
      <c r="PY44" s="107"/>
      <c r="PZ44" s="107"/>
      <c r="QA44" s="107"/>
      <c r="QB44" s="104">
        <f t="shared" si="2006"/>
        <v>0</v>
      </c>
      <c r="QC44" s="105">
        <f t="shared" si="2007"/>
        <v>0</v>
      </c>
      <c r="QD44" s="106"/>
      <c r="QE44" s="107"/>
      <c r="QF44" s="107"/>
      <c r="QG44" s="107"/>
      <c r="QH44" s="107"/>
      <c r="QI44" s="107"/>
      <c r="QJ44" s="104">
        <f t="shared" si="2008"/>
        <v>0</v>
      </c>
      <c r="QK44" s="105">
        <f t="shared" si="2009"/>
        <v>0</v>
      </c>
      <c r="QL44" s="106"/>
      <c r="QM44" s="107"/>
      <c r="QN44" s="107"/>
      <c r="QO44" s="107"/>
      <c r="QP44" s="107"/>
      <c r="QQ44" s="107"/>
      <c r="QR44" s="104">
        <f t="shared" si="2010"/>
        <v>0</v>
      </c>
      <c r="QS44" s="105">
        <f t="shared" si="2011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12"/>
        <v>187</v>
      </c>
      <c r="RA44" s="105">
        <f t="shared" si="2013"/>
        <v>31.166666666666668</v>
      </c>
      <c r="RB44" s="106"/>
      <c r="RC44" s="107"/>
      <c r="RD44" s="107"/>
      <c r="RE44" s="107"/>
      <c r="RF44" s="107"/>
      <c r="RG44" s="107"/>
      <c r="RH44" s="104">
        <f t="shared" si="2014"/>
        <v>0</v>
      </c>
      <c r="RI44" s="105">
        <f t="shared" si="2015"/>
        <v>0</v>
      </c>
      <c r="RJ44" s="106"/>
      <c r="RK44" s="107"/>
      <c r="RL44" s="107"/>
      <c r="RM44" s="107"/>
      <c r="RN44" s="107"/>
      <c r="RO44" s="107"/>
      <c r="RP44" s="104">
        <f t="shared" si="2016"/>
        <v>0</v>
      </c>
      <c r="RQ44" s="105">
        <f t="shared" si="2017"/>
        <v>0</v>
      </c>
      <c r="RR44" s="106"/>
      <c r="RS44" s="107"/>
      <c r="RT44" s="107"/>
      <c r="RU44" s="107"/>
      <c r="RV44" s="107"/>
      <c r="RW44" s="107"/>
      <c r="RX44" s="104">
        <f t="shared" si="2018"/>
        <v>0</v>
      </c>
      <c r="RY44" s="105">
        <f t="shared" si="2019"/>
        <v>0</v>
      </c>
      <c r="RZ44" s="106"/>
      <c r="SA44" s="107"/>
      <c r="SB44" s="107"/>
      <c r="SC44" s="107"/>
      <c r="SD44" s="107"/>
      <c r="SE44" s="107"/>
      <c r="SF44" s="104">
        <f t="shared" si="2020"/>
        <v>0</v>
      </c>
      <c r="SG44" s="105">
        <f t="shared" si="2021"/>
        <v>0</v>
      </c>
      <c r="SH44" s="106"/>
      <c r="SI44" s="107"/>
      <c r="SJ44" s="107"/>
      <c r="SK44" s="107"/>
      <c r="SL44" s="107"/>
      <c r="SM44" s="107"/>
      <c r="SN44" s="104">
        <f t="shared" si="2022"/>
        <v>0</v>
      </c>
      <c r="SO44" s="105">
        <f t="shared" si="2023"/>
        <v>0</v>
      </c>
      <c r="SP44" s="106"/>
      <c r="SQ44" s="107"/>
      <c r="SR44" s="107"/>
      <c r="SS44" s="107"/>
      <c r="ST44" s="107"/>
      <c r="SU44" s="107"/>
      <c r="SV44" s="104">
        <f t="shared" si="2024"/>
        <v>0</v>
      </c>
      <c r="SW44" s="105">
        <f t="shared" si="2025"/>
        <v>0</v>
      </c>
      <c r="SX44" s="106"/>
      <c r="SY44" s="107"/>
      <c r="SZ44" s="107"/>
      <c r="TA44" s="107"/>
      <c r="TB44" s="107"/>
      <c r="TC44" s="107"/>
      <c r="TD44" s="104">
        <f t="shared" si="2026"/>
        <v>0</v>
      </c>
      <c r="TE44" s="105">
        <f t="shared" si="2027"/>
        <v>0</v>
      </c>
      <c r="TF44" s="106"/>
      <c r="TG44" s="107"/>
      <c r="TH44" s="107"/>
      <c r="TI44" s="107"/>
      <c r="TJ44" s="107"/>
      <c r="TK44" s="107"/>
      <c r="TL44" s="104">
        <f t="shared" si="2028"/>
        <v>0</v>
      </c>
      <c r="TM44" s="105">
        <f t="shared" si="2029"/>
        <v>0</v>
      </c>
      <c r="TN44" s="130"/>
      <c r="TO44" s="107"/>
      <c r="TP44" s="107"/>
      <c r="TQ44" s="107"/>
      <c r="TR44" s="107"/>
      <c r="TS44" s="107"/>
      <c r="TT44" s="104">
        <f t="shared" si="2030"/>
        <v>0</v>
      </c>
      <c r="TU44" s="105">
        <f t="shared" si="2031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32"/>
        <v>200</v>
      </c>
      <c r="UC44" s="105">
        <f t="shared" si="2033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34"/>
        <v>204</v>
      </c>
      <c r="UK44" s="105">
        <f t="shared" si="2035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91"/>
        <v>199</v>
      </c>
      <c r="UT44" s="105">
        <f t="shared" si="2036"/>
        <v>33.166666666666664</v>
      </c>
      <c r="UU44" s="106"/>
      <c r="UV44" s="107"/>
      <c r="UW44" s="107"/>
      <c r="UX44" s="107"/>
      <c r="UY44" s="107"/>
      <c r="UZ44" s="107"/>
      <c r="VA44" s="104">
        <f t="shared" si="2037"/>
        <v>0</v>
      </c>
      <c r="VB44" s="105">
        <f t="shared" si="2038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39"/>
        <v>197</v>
      </c>
      <c r="VJ44" s="105">
        <f t="shared" si="2040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41"/>
        <v>199</v>
      </c>
      <c r="VR44" s="68">
        <f t="shared" si="2042"/>
        <v>33.166666666666664</v>
      </c>
      <c r="VS44" s="106"/>
      <c r="VT44" s="107"/>
      <c r="VU44" s="107"/>
      <c r="VV44" s="107"/>
      <c r="VW44" s="107"/>
      <c r="VX44" s="107"/>
      <c r="VY44" s="104">
        <f t="shared" si="2043"/>
        <v>0</v>
      </c>
      <c r="VZ44" s="105">
        <f t="shared" si="2044"/>
        <v>0</v>
      </c>
      <c r="WA44" s="63"/>
      <c r="WB44" s="64"/>
      <c r="WC44" s="64"/>
      <c r="WD44" s="64"/>
      <c r="WE44" s="64"/>
      <c r="WF44" s="64"/>
      <c r="WG44" s="67">
        <f t="shared" si="2045"/>
        <v>0</v>
      </c>
      <c r="WH44" s="68">
        <f t="shared" si="2046"/>
        <v>0</v>
      </c>
      <c r="WI44" s="106"/>
      <c r="WJ44" s="107"/>
      <c r="WK44" s="107"/>
      <c r="WL44" s="107"/>
      <c r="WM44" s="107"/>
      <c r="WN44" s="107"/>
      <c r="WO44" s="104">
        <f t="shared" si="2047"/>
        <v>0</v>
      </c>
      <c r="WP44" s="105">
        <f t="shared" si="2048"/>
        <v>0</v>
      </c>
      <c r="WQ44" s="48"/>
      <c r="WR44" s="49"/>
      <c r="WS44" s="49"/>
      <c r="WT44" s="49"/>
      <c r="WU44" s="49"/>
      <c r="WV44" s="49"/>
      <c r="WW44" s="49"/>
      <c r="WX44" s="67">
        <f t="shared" si="2049"/>
        <v>0</v>
      </c>
      <c r="WY44" s="68">
        <f t="shared" si="2050"/>
        <v>0</v>
      </c>
      <c r="WZ44" s="48"/>
      <c r="XA44" s="49"/>
      <c r="XB44" s="49"/>
      <c r="XC44" s="49"/>
      <c r="XD44" s="49"/>
      <c r="XE44" s="49"/>
      <c r="XF44" s="49"/>
      <c r="XG44" s="67">
        <f t="shared" si="2051"/>
        <v>0</v>
      </c>
      <c r="XH44" s="68">
        <f t="shared" si="2052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53"/>
        <v>0</v>
      </c>
      <c r="XQ44" s="68">
        <f t="shared" si="2054"/>
        <v>0</v>
      </c>
      <c r="XR44" s="48"/>
      <c r="XS44" s="49"/>
      <c r="XT44" s="49"/>
      <c r="XU44" s="49"/>
      <c r="XV44" s="49"/>
      <c r="XW44" s="49"/>
      <c r="XX44" s="49"/>
      <c r="XY44" s="67">
        <f t="shared" si="2055"/>
        <v>0</v>
      </c>
      <c r="XZ44" s="68">
        <f t="shared" si="2056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57"/>
        <v>200</v>
      </c>
      <c r="YI44" s="68">
        <f t="shared" si="2058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59"/>
        <v>0</v>
      </c>
      <c r="YR44" s="68">
        <f t="shared" si="2060"/>
        <v>0</v>
      </c>
      <c r="YS44" s="48"/>
      <c r="YT44" s="49"/>
      <c r="YU44" s="49"/>
      <c r="YV44" s="49"/>
      <c r="YW44" s="49"/>
      <c r="YX44" s="49"/>
      <c r="YY44" s="67">
        <f t="shared" si="2061"/>
        <v>0</v>
      </c>
      <c r="YZ44" s="68">
        <f t="shared" si="2062"/>
        <v>0</v>
      </c>
      <c r="ZA44" s="48"/>
      <c r="ZB44" s="49"/>
      <c r="ZC44" s="49"/>
      <c r="ZD44" s="49"/>
      <c r="ZE44" s="49"/>
      <c r="ZF44" s="49"/>
      <c r="ZG44" s="67">
        <f t="shared" si="2063"/>
        <v>0</v>
      </c>
      <c r="ZH44" s="68">
        <f t="shared" si="2064"/>
        <v>0</v>
      </c>
      <c r="ZI44" s="48"/>
      <c r="ZJ44" s="49"/>
      <c r="ZK44" s="49"/>
      <c r="ZL44" s="49"/>
      <c r="ZM44" s="49"/>
      <c r="ZN44" s="24"/>
      <c r="ZO44" s="67">
        <f t="shared" si="2065"/>
        <v>0</v>
      </c>
      <c r="ZP44" s="68">
        <f t="shared" si="2066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67"/>
        <v>160</v>
      </c>
      <c r="ZY44" s="70">
        <f t="shared" si="2068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69"/>
        <v>0</v>
      </c>
      <c r="AAH44" s="68">
        <f t="shared" si="2070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71"/>
        <v>200</v>
      </c>
      <c r="AAP44" s="68">
        <f t="shared" si="2072"/>
        <v>33.333333333333336</v>
      </c>
      <c r="AAQ44" s="48"/>
      <c r="AAR44" s="49"/>
      <c r="AAS44" s="49"/>
      <c r="AAT44" s="49"/>
      <c r="AAU44" s="49"/>
      <c r="AAV44" s="49"/>
      <c r="AAW44" s="67">
        <f t="shared" si="2073"/>
        <v>0</v>
      </c>
      <c r="AAX44" s="68">
        <f t="shared" si="2074"/>
        <v>0</v>
      </c>
      <c r="AAY44" s="48"/>
      <c r="AAZ44" s="49"/>
      <c r="ABA44" s="49"/>
      <c r="ABB44" s="49"/>
      <c r="ABC44" s="49"/>
      <c r="ABD44" s="49"/>
      <c r="ABE44" s="67">
        <f t="shared" si="2075"/>
        <v>0</v>
      </c>
      <c r="ABF44" s="68">
        <f t="shared" si="2076"/>
        <v>0</v>
      </c>
      <c r="ABG44" s="48"/>
      <c r="ABH44" s="49"/>
      <c r="ABI44" s="49"/>
      <c r="ABJ44" s="49"/>
      <c r="ABK44" s="49"/>
      <c r="ABL44" s="49"/>
      <c r="ABM44" s="67">
        <f t="shared" si="2077"/>
        <v>0</v>
      </c>
      <c r="ABN44" s="68">
        <f t="shared" si="2078"/>
        <v>0</v>
      </c>
      <c r="ABO44" s="48"/>
      <c r="ABP44" s="49"/>
      <c r="ABQ44" s="49"/>
      <c r="ABR44" s="49"/>
      <c r="ABS44" s="49"/>
      <c r="ABT44" s="49"/>
      <c r="ABU44" s="67">
        <f t="shared" si="2079"/>
        <v>0</v>
      </c>
      <c r="ABV44" s="68">
        <f t="shared" si="2080"/>
        <v>0</v>
      </c>
      <c r="ABW44" s="48"/>
      <c r="ABX44" s="49"/>
      <c r="ABY44" s="49"/>
      <c r="ABZ44" s="49"/>
      <c r="ACA44" s="49"/>
      <c r="ACB44" s="49"/>
      <c r="ACC44" s="67">
        <f t="shared" si="2081"/>
        <v>0</v>
      </c>
      <c r="ACD44" s="68">
        <f t="shared" si="2082"/>
        <v>0</v>
      </c>
      <c r="ACE44" s="48"/>
      <c r="ACF44" s="49"/>
      <c r="ACG44" s="49"/>
      <c r="ACH44" s="49"/>
      <c r="ACI44" s="49"/>
      <c r="ACJ44" s="49"/>
      <c r="ACK44" s="67">
        <f t="shared" si="2083"/>
        <v>0</v>
      </c>
      <c r="ACL44" s="68">
        <f t="shared" si="2084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85"/>
        <v>194</v>
      </c>
      <c r="ACT44" s="68">
        <f t="shared" si="2086"/>
        <v>32.333333333333336</v>
      </c>
      <c r="ACU44" s="48"/>
      <c r="ACV44" s="49"/>
      <c r="ACW44" s="49"/>
      <c r="ACX44" s="49"/>
      <c r="ACY44" s="49"/>
      <c r="ACZ44" s="49"/>
      <c r="ADA44" s="67">
        <f t="shared" si="2087"/>
        <v>0</v>
      </c>
      <c r="ADB44" s="68">
        <f t="shared" si="2088"/>
        <v>0</v>
      </c>
      <c r="ADC44" s="48"/>
      <c r="ADD44" s="49"/>
      <c r="ADE44" s="49"/>
      <c r="ADF44" s="49"/>
      <c r="ADG44" s="49"/>
      <c r="ADH44" s="49"/>
      <c r="ADI44" s="67">
        <f t="shared" si="2089"/>
        <v>0</v>
      </c>
      <c r="ADJ44" s="68">
        <f t="shared" si="2090"/>
        <v>0</v>
      </c>
      <c r="ADK44" s="48"/>
      <c r="ADL44" s="49"/>
      <c r="ADM44" s="49"/>
      <c r="ADN44" s="49"/>
      <c r="ADO44" s="49"/>
      <c r="ADP44" s="49"/>
      <c r="ADQ44" s="67">
        <f t="shared" si="2091"/>
        <v>0</v>
      </c>
      <c r="ADR44" s="68">
        <f t="shared" si="2092"/>
        <v>0</v>
      </c>
      <c r="ADS44" s="48"/>
      <c r="ADT44" s="49"/>
      <c r="ADU44" s="49"/>
      <c r="ADV44" s="49"/>
      <c r="ADW44" s="49"/>
      <c r="ADX44" s="49"/>
      <c r="ADY44" s="67">
        <f t="shared" si="2093"/>
        <v>0</v>
      </c>
      <c r="ADZ44" s="68">
        <f t="shared" si="2094"/>
        <v>0</v>
      </c>
      <c r="AEA44" s="48"/>
      <c r="AEB44" s="49"/>
      <c r="AEC44" s="49"/>
      <c r="AED44" s="49"/>
      <c r="AEE44" s="49"/>
      <c r="AEF44" s="49"/>
      <c r="AEG44" s="67">
        <f t="shared" si="2095"/>
        <v>0</v>
      </c>
      <c r="AEH44" s="68">
        <f t="shared" si="2096"/>
        <v>0</v>
      </c>
      <c r="AEI44" s="48"/>
      <c r="AEJ44" s="49"/>
      <c r="AEK44" s="49"/>
      <c r="AEL44" s="49"/>
      <c r="AEM44" s="49"/>
      <c r="AEN44" s="49"/>
      <c r="AEO44" s="67">
        <f t="shared" si="2097"/>
        <v>0</v>
      </c>
      <c r="AEP44" s="68">
        <f t="shared" si="2098"/>
        <v>0</v>
      </c>
      <c r="AEQ44" s="48"/>
      <c r="AER44" s="49"/>
      <c r="AES44" s="49"/>
      <c r="AET44" s="49"/>
      <c r="AEU44" s="49"/>
      <c r="AEV44" s="49"/>
      <c r="AEW44" s="67">
        <f t="shared" si="2099"/>
        <v>0</v>
      </c>
      <c r="AEX44" s="68">
        <f t="shared" si="2100"/>
        <v>0</v>
      </c>
      <c r="AEY44" s="48"/>
      <c r="AEZ44" s="49"/>
      <c r="AFA44" s="49"/>
      <c r="AFB44" s="49"/>
      <c r="AFC44" s="49"/>
      <c r="AFD44" s="49"/>
      <c r="AFE44" s="67">
        <f t="shared" si="2101"/>
        <v>0</v>
      </c>
      <c r="AFF44" s="68">
        <f t="shared" si="2102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103"/>
        <v>110</v>
      </c>
      <c r="AFN44" s="68">
        <f t="shared" si="2104"/>
        <v>18.333333333333332</v>
      </c>
      <c r="AFO44" s="48"/>
      <c r="AFP44" s="49"/>
      <c r="AFQ44" s="49"/>
      <c r="AFR44" s="49"/>
      <c r="AFS44" s="49"/>
      <c r="AFT44" s="49"/>
      <c r="AFU44" s="67">
        <f t="shared" si="2105"/>
        <v>0</v>
      </c>
      <c r="AFV44" s="68">
        <f t="shared" si="2106"/>
        <v>0</v>
      </c>
      <c r="AFW44" s="48"/>
      <c r="AFX44" s="49"/>
      <c r="AFY44" s="49"/>
      <c r="AFZ44" s="49"/>
      <c r="AGA44" s="49"/>
      <c r="AGB44" s="49"/>
      <c r="AGC44" s="67">
        <f t="shared" si="2107"/>
        <v>0</v>
      </c>
      <c r="AGD44" s="68">
        <f t="shared" si="2108"/>
        <v>0</v>
      </c>
      <c r="AGE44" s="48"/>
      <c r="AGF44" s="49"/>
      <c r="AGG44" s="49"/>
      <c r="AGH44" s="49"/>
      <c r="AGI44" s="49"/>
      <c r="AGJ44" s="49"/>
      <c r="AGK44" s="67">
        <f t="shared" si="2109"/>
        <v>0</v>
      </c>
      <c r="AGL44" s="68">
        <f t="shared" si="2110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111"/>
        <v>0</v>
      </c>
      <c r="AGU44" s="68">
        <f t="shared" si="2112"/>
        <v>0</v>
      </c>
      <c r="AGV44" s="48"/>
      <c r="AGW44" s="49"/>
      <c r="AGX44" s="49"/>
      <c r="AGY44" s="49"/>
      <c r="AGZ44" s="49"/>
      <c r="AHA44" s="49"/>
      <c r="AHB44" s="67">
        <f t="shared" si="2113"/>
        <v>0</v>
      </c>
      <c r="AHC44" s="68">
        <f t="shared" si="2114"/>
        <v>0</v>
      </c>
      <c r="AHD44" s="48"/>
      <c r="AHE44" s="49"/>
      <c r="AHF44" s="49"/>
      <c r="AHG44" s="49"/>
      <c r="AHH44" s="49"/>
      <c r="AHI44" s="49"/>
      <c r="AHJ44" s="67">
        <f t="shared" si="2115"/>
        <v>0</v>
      </c>
      <c r="AHK44" s="68">
        <f t="shared" si="2116"/>
        <v>0</v>
      </c>
      <c r="AHL44" s="48"/>
      <c r="AHM44" s="49"/>
      <c r="AHN44" s="49"/>
      <c r="AHO44" s="49"/>
      <c r="AHP44" s="49"/>
      <c r="AHQ44" s="49"/>
      <c r="AHR44" s="67">
        <f t="shared" si="2117"/>
        <v>0</v>
      </c>
      <c r="AHS44" s="68">
        <f t="shared" si="2118"/>
        <v>0</v>
      </c>
      <c r="AHT44" s="48"/>
      <c r="AHU44" s="49"/>
      <c r="AHV44" s="49"/>
      <c r="AHW44" s="49"/>
      <c r="AHX44" s="49"/>
      <c r="AHY44" s="49"/>
      <c r="AHZ44" s="67">
        <f t="shared" si="2119"/>
        <v>0</v>
      </c>
      <c r="AIA44" s="68">
        <f t="shared" si="2120"/>
        <v>0</v>
      </c>
      <c r="AIB44" s="48"/>
      <c r="AIC44" s="49"/>
      <c r="AID44" s="49"/>
      <c r="AIE44" s="49"/>
      <c r="AIF44" s="49"/>
      <c r="AIG44" s="49"/>
      <c r="AIH44" s="67">
        <f t="shared" si="2121"/>
        <v>0</v>
      </c>
      <c r="AII44" s="68">
        <f t="shared" si="2122"/>
        <v>0</v>
      </c>
      <c r="AIJ44" s="48"/>
      <c r="AIK44" s="49"/>
      <c r="AIL44" s="49"/>
      <c r="AIM44" s="49"/>
      <c r="AIN44" s="49"/>
      <c r="AIO44" s="49"/>
      <c r="AIP44" s="67">
        <f t="shared" si="2123"/>
        <v>0</v>
      </c>
      <c r="AIQ44" s="68">
        <f t="shared" si="2124"/>
        <v>0</v>
      </c>
      <c r="AIR44" s="48"/>
      <c r="AIS44" s="49"/>
      <c r="AIT44" s="49"/>
      <c r="AIU44" s="49"/>
      <c r="AIV44" s="49"/>
      <c r="AIW44" s="49"/>
      <c r="AIX44" s="67">
        <f t="shared" si="2125"/>
        <v>0</v>
      </c>
      <c r="AIY44" s="68">
        <f t="shared" si="2126"/>
        <v>0</v>
      </c>
      <c r="AIZ44" s="48"/>
      <c r="AJA44" s="49"/>
      <c r="AJB44" s="49"/>
      <c r="AJC44" s="49"/>
      <c r="AJD44" s="49"/>
      <c r="AJE44" s="49"/>
      <c r="AJF44" s="67">
        <f t="shared" si="2127"/>
        <v>0</v>
      </c>
      <c r="AJG44" s="68">
        <f t="shared" si="2128"/>
        <v>0</v>
      </c>
      <c r="AJH44" s="48"/>
      <c r="AJI44" s="49"/>
      <c r="AJJ44" s="49"/>
      <c r="AJK44" s="49"/>
      <c r="AJL44" s="49"/>
      <c r="AJM44" s="49"/>
      <c r="AJN44" s="42">
        <f t="shared" si="2129"/>
        <v>0</v>
      </c>
      <c r="AJO44" s="43">
        <f t="shared" si="2130"/>
        <v>0</v>
      </c>
      <c r="AJP44" s="48"/>
      <c r="AJQ44" s="49"/>
      <c r="AJR44" s="49"/>
      <c r="AJS44" s="49"/>
      <c r="AJT44" s="49"/>
      <c r="AJU44" s="49"/>
      <c r="AJV44" s="42">
        <f t="shared" si="2131"/>
        <v>0</v>
      </c>
      <c r="AJW44" s="43">
        <f t="shared" si="2132"/>
        <v>0</v>
      </c>
      <c r="AJX44" s="48"/>
      <c r="AJY44" s="49"/>
      <c r="AJZ44" s="49"/>
      <c r="AKA44" s="49"/>
      <c r="AKB44" s="49"/>
      <c r="AKC44" s="49"/>
      <c r="AKD44" s="67">
        <f t="shared" si="2133"/>
        <v>0</v>
      </c>
      <c r="AKE44" s="68">
        <f t="shared" si="2134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35"/>
        <v>100</v>
      </c>
      <c r="AKM44" s="184">
        <f t="shared" si="2136"/>
        <v>16.666666666666668</v>
      </c>
      <c r="AKN44" s="195"/>
      <c r="AKO44" s="49"/>
      <c r="AKP44" s="49"/>
      <c r="AKQ44" s="49"/>
      <c r="AKR44" s="49"/>
      <c r="AKS44" s="49"/>
      <c r="AKT44" s="67">
        <f t="shared" si="2137"/>
        <v>0</v>
      </c>
      <c r="AKU44" s="184">
        <f t="shared" si="2138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39"/>
        <v>96</v>
      </c>
      <c r="ALC44" s="68">
        <f t="shared" si="2140"/>
        <v>16</v>
      </c>
      <c r="ALD44" s="48"/>
      <c r="ALE44" s="49"/>
      <c r="ALF44" s="49"/>
      <c r="ALG44" s="49"/>
      <c r="ALH44" s="49"/>
      <c r="ALI44" s="49"/>
      <c r="ALJ44" s="67">
        <f t="shared" si="2141"/>
        <v>0</v>
      </c>
      <c r="ALK44" s="68">
        <f t="shared" si="2142"/>
        <v>0</v>
      </c>
      <c r="ALL44" s="48"/>
      <c r="ALM44" s="49"/>
      <c r="ALN44" s="49"/>
      <c r="ALO44" s="49"/>
      <c r="ALP44" s="49"/>
      <c r="ALQ44" s="49"/>
      <c r="ALR44" s="67">
        <f t="shared" si="2143"/>
        <v>0</v>
      </c>
      <c r="ALS44" s="68">
        <f t="shared" si="2144"/>
        <v>0</v>
      </c>
      <c r="ALT44" s="48"/>
      <c r="ALU44" s="49"/>
      <c r="ALV44" s="49"/>
      <c r="ALW44" s="49"/>
      <c r="ALX44" s="49"/>
      <c r="ALY44" s="49"/>
      <c r="ALZ44" s="67">
        <f t="shared" si="2145"/>
        <v>0</v>
      </c>
      <c r="AMA44" s="68">
        <f t="shared" si="2146"/>
        <v>0</v>
      </c>
      <c r="AMB44" s="48"/>
      <c r="AMC44" s="49"/>
      <c r="AMD44" s="49"/>
      <c r="AME44" s="49"/>
      <c r="AMF44" s="49"/>
      <c r="AMG44" s="49"/>
      <c r="AMH44" s="67">
        <f t="shared" si="2147"/>
        <v>0</v>
      </c>
      <c r="AMI44" s="68">
        <f t="shared" si="2148"/>
        <v>0</v>
      </c>
      <c r="AMJ44" s="48"/>
      <c r="AMK44" s="49"/>
      <c r="AML44" s="49"/>
      <c r="AMM44" s="49"/>
      <c r="AMN44" s="49"/>
      <c r="AMO44" s="49"/>
      <c r="AMP44" s="67">
        <f t="shared" si="2149"/>
        <v>0</v>
      </c>
      <c r="AMQ44" s="68">
        <f t="shared" si="2150"/>
        <v>0</v>
      </c>
      <c r="AMR44" s="48"/>
      <c r="AMS44" s="49"/>
      <c r="AMT44" s="49"/>
      <c r="AMU44" s="49"/>
      <c r="AMV44" s="49"/>
      <c r="AMW44" s="49"/>
      <c r="AMX44" s="67">
        <f t="shared" si="2151"/>
        <v>0</v>
      </c>
      <c r="AMY44" s="68">
        <f t="shared" si="2152"/>
        <v>0</v>
      </c>
      <c r="AMZ44" s="48"/>
      <c r="ANA44" s="49"/>
      <c r="ANB44" s="49"/>
      <c r="ANC44" s="49"/>
      <c r="AND44" s="49"/>
      <c r="ANE44" s="49"/>
      <c r="ANF44" s="67">
        <f t="shared" si="2153"/>
        <v>0</v>
      </c>
      <c r="ANG44" s="68">
        <f t="shared" si="2154"/>
        <v>0</v>
      </c>
      <c r="ANH44" s="48"/>
      <c r="ANI44" s="49"/>
      <c r="ANJ44" s="49"/>
      <c r="ANK44" s="49"/>
      <c r="ANL44" s="49"/>
      <c r="ANM44" s="49"/>
      <c r="ANN44" s="67">
        <f t="shared" si="2155"/>
        <v>0</v>
      </c>
      <c r="ANO44" s="68">
        <f t="shared" si="2156"/>
        <v>0</v>
      </c>
      <c r="ANP44" s="48"/>
      <c r="ANQ44" s="49"/>
      <c r="ANR44" s="49"/>
      <c r="ANS44" s="49"/>
      <c r="ANT44" s="49"/>
      <c r="ANU44" s="49"/>
      <c r="ANV44" s="67">
        <f t="shared" si="2157"/>
        <v>0</v>
      </c>
      <c r="ANW44" s="68">
        <f t="shared" si="2158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59"/>
        <v>95</v>
      </c>
      <c r="AOE44" s="68">
        <f t="shared" si="2160"/>
        <v>15.833333333333334</v>
      </c>
      <c r="AOF44" s="48"/>
      <c r="AOG44" s="49"/>
      <c r="AOH44" s="49"/>
      <c r="AOI44" s="49"/>
      <c r="AOJ44" s="49"/>
      <c r="AOK44" s="49"/>
      <c r="AOL44" s="67">
        <f t="shared" si="2161"/>
        <v>0</v>
      </c>
      <c r="AOM44" s="68">
        <f t="shared" si="2162"/>
        <v>0</v>
      </c>
      <c r="AON44" s="48"/>
      <c r="AOO44" s="49"/>
      <c r="AOP44" s="49"/>
      <c r="AOQ44" s="49"/>
      <c r="AOR44" s="49"/>
      <c r="AOS44" s="49"/>
      <c r="AOT44" s="67">
        <f t="shared" si="2163"/>
        <v>0</v>
      </c>
      <c r="AOU44" s="68">
        <f t="shared" si="2164"/>
        <v>0</v>
      </c>
      <c r="AOV44" s="48"/>
      <c r="AOW44" s="49"/>
      <c r="AOX44" s="49"/>
      <c r="AOY44" s="49"/>
      <c r="AOZ44" s="49"/>
      <c r="APA44" s="49"/>
      <c r="APB44" s="67">
        <f t="shared" si="2165"/>
        <v>0</v>
      </c>
      <c r="APC44" s="68">
        <f t="shared" si="2166"/>
        <v>0</v>
      </c>
      <c r="APD44" s="48"/>
      <c r="APE44" s="49"/>
      <c r="APF44" s="49"/>
      <c r="APG44" s="49"/>
      <c r="APH44" s="49"/>
      <c r="API44" s="49"/>
      <c r="APJ44" s="67">
        <f t="shared" si="2167"/>
        <v>0</v>
      </c>
      <c r="APK44" s="68">
        <f t="shared" si="2168"/>
        <v>0</v>
      </c>
      <c r="APL44" s="48"/>
      <c r="APM44" s="49"/>
      <c r="APN44" s="49"/>
      <c r="APO44" s="49"/>
      <c r="APP44" s="49"/>
      <c r="APQ44" s="49"/>
      <c r="APR44" s="67">
        <f t="shared" si="2169"/>
        <v>0</v>
      </c>
      <c r="APS44" s="68">
        <f t="shared" si="2170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71"/>
        <v>102</v>
      </c>
      <c r="AQA44" s="68">
        <f t="shared" si="2172"/>
        <v>17</v>
      </c>
      <c r="AQB44" s="48"/>
      <c r="AQC44" s="49"/>
      <c r="AQD44" s="49"/>
      <c r="AQE44" s="49"/>
      <c r="AQF44" s="49"/>
      <c r="AQG44" s="49"/>
      <c r="AQH44" s="67">
        <f t="shared" si="2173"/>
        <v>0</v>
      </c>
      <c r="AQI44" s="68">
        <f t="shared" si="2174"/>
        <v>0</v>
      </c>
      <c r="AQJ44" s="48"/>
      <c r="AQK44" s="49"/>
      <c r="AQL44" s="49"/>
      <c r="AQM44" s="49"/>
      <c r="AQN44" s="49"/>
      <c r="AQO44" s="49"/>
      <c r="AQP44" s="67">
        <f t="shared" si="2175"/>
        <v>0</v>
      </c>
      <c r="AQQ44" s="68">
        <f t="shared" si="2176"/>
        <v>0</v>
      </c>
      <c r="AQR44" s="48"/>
      <c r="AQS44" s="49"/>
      <c r="AQT44" s="49"/>
      <c r="AQU44" s="49"/>
      <c r="AQV44" s="49"/>
      <c r="AQW44" s="49"/>
      <c r="AQX44" s="67">
        <f t="shared" si="2177"/>
        <v>0</v>
      </c>
      <c r="AQY44" s="68">
        <f t="shared" si="2178"/>
        <v>0</v>
      </c>
      <c r="AQZ44" s="48"/>
      <c r="ARA44" s="49"/>
      <c r="ARB44" s="49"/>
      <c r="ARC44" s="49"/>
      <c r="ARD44" s="49"/>
      <c r="ARE44" s="49"/>
      <c r="ARF44" s="67">
        <f t="shared" si="2179"/>
        <v>0</v>
      </c>
      <c r="ARG44" s="68">
        <f t="shared" si="2180"/>
        <v>0</v>
      </c>
      <c r="ARH44" s="48"/>
      <c r="ARI44" s="49"/>
      <c r="ARJ44" s="49"/>
      <c r="ARK44" s="49"/>
      <c r="ARL44" s="49"/>
      <c r="ARM44" s="49"/>
      <c r="ARN44" s="67">
        <f t="shared" si="2181"/>
        <v>0</v>
      </c>
      <c r="ARO44" s="68">
        <f t="shared" si="2182"/>
        <v>0</v>
      </c>
      <c r="ARP44" s="48"/>
      <c r="ARQ44" s="49"/>
      <c r="ARR44" s="49"/>
      <c r="ARS44" s="49"/>
      <c r="ART44" s="49"/>
      <c r="ARU44" s="49"/>
      <c r="ARV44" s="67">
        <f t="shared" si="2183"/>
        <v>0</v>
      </c>
      <c r="ARW44" s="68">
        <f t="shared" si="2184"/>
        <v>0</v>
      </c>
      <c r="ARX44" s="48"/>
      <c r="ARY44" s="49"/>
      <c r="ARZ44" s="49"/>
      <c r="ASA44" s="49"/>
      <c r="ASB44" s="49"/>
      <c r="ASC44" s="49"/>
      <c r="ASD44" s="67">
        <f t="shared" si="2185"/>
        <v>0</v>
      </c>
      <c r="ASE44" s="68">
        <f t="shared" si="2186"/>
        <v>0</v>
      </c>
      <c r="ASF44" s="48"/>
      <c r="ASG44" s="49"/>
      <c r="ASH44" s="49"/>
      <c r="ASI44" s="49"/>
      <c r="ASJ44" s="49"/>
      <c r="ASK44" s="49"/>
      <c r="ASL44" s="67">
        <f t="shared" si="2187"/>
        <v>0</v>
      </c>
      <c r="ASM44" s="68">
        <f t="shared" si="2188"/>
        <v>0</v>
      </c>
      <c r="ASN44" s="48"/>
      <c r="ASO44" s="49"/>
      <c r="ASP44" s="49"/>
      <c r="ASQ44" s="49"/>
      <c r="ASR44" s="49"/>
      <c r="ASS44" s="49"/>
      <c r="AST44" s="67">
        <f t="shared" si="2189"/>
        <v>0</v>
      </c>
      <c r="ASU44" s="68">
        <f t="shared" si="2190"/>
        <v>0</v>
      </c>
      <c r="ASV44" s="48"/>
      <c r="ASW44" s="49"/>
      <c r="ASX44" s="49"/>
      <c r="ASY44" s="49"/>
      <c r="ASZ44" s="49"/>
      <c r="ATA44" s="49"/>
      <c r="ATB44" s="67">
        <f t="shared" si="2191"/>
        <v>0</v>
      </c>
      <c r="ATC44" s="68">
        <f t="shared" si="2192"/>
        <v>0</v>
      </c>
      <c r="ATD44" s="48"/>
      <c r="ATE44" s="49"/>
      <c r="ATF44" s="49"/>
      <c r="ATG44" s="49"/>
      <c r="ATH44" s="49"/>
      <c r="ATI44" s="49"/>
      <c r="ATJ44" s="67">
        <f t="shared" si="2193"/>
        <v>0</v>
      </c>
      <c r="ATK44" s="68">
        <f t="shared" si="2194"/>
        <v>0</v>
      </c>
      <c r="ATL44" s="48"/>
      <c r="ATM44" s="49"/>
      <c r="ATN44" s="49"/>
      <c r="ATO44" s="49"/>
      <c r="ATP44" s="49"/>
      <c r="ATQ44" s="49"/>
      <c r="ATR44" s="67">
        <f t="shared" si="2195"/>
        <v>0</v>
      </c>
      <c r="ATS44" s="68">
        <f t="shared" si="2196"/>
        <v>0</v>
      </c>
      <c r="ATT44" s="48"/>
      <c r="ATU44" s="49"/>
      <c r="ATV44" s="49"/>
      <c r="ATW44" s="49"/>
      <c r="ATX44" s="49"/>
      <c r="ATY44" s="49"/>
      <c r="ATZ44" s="67">
        <f t="shared" si="2197"/>
        <v>0</v>
      </c>
      <c r="AUA44" s="68">
        <f t="shared" si="2198"/>
        <v>0</v>
      </c>
      <c r="AUB44" s="48"/>
      <c r="AUC44" s="49"/>
      <c r="AUD44" s="49"/>
      <c r="AUE44" s="49"/>
      <c r="AUF44" s="49"/>
      <c r="AUG44" s="49"/>
      <c r="AUH44" s="67">
        <f t="shared" si="2199"/>
        <v>0</v>
      </c>
      <c r="AUI44" s="68">
        <f t="shared" si="2200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201"/>
        <v>396</v>
      </c>
      <c r="AUQ44" s="68">
        <f t="shared" si="2202"/>
        <v>66</v>
      </c>
      <c r="AUR44" s="48"/>
      <c r="AUS44" s="49"/>
      <c r="AUT44" s="49"/>
      <c r="AUU44" s="49"/>
      <c r="AUV44" s="49"/>
      <c r="AUW44" s="49"/>
      <c r="AUX44" s="67">
        <f t="shared" si="2203"/>
        <v>0</v>
      </c>
      <c r="AUY44" s="68">
        <f t="shared" si="2204"/>
        <v>0</v>
      </c>
      <c r="AUZ44" s="48"/>
      <c r="AVA44" s="49"/>
      <c r="AVB44" s="49"/>
      <c r="AVC44" s="49"/>
      <c r="AVD44" s="49"/>
      <c r="AVE44" s="49"/>
      <c r="AVF44" s="67">
        <f t="shared" si="2205"/>
        <v>0</v>
      </c>
      <c r="AVG44" s="68">
        <f t="shared" si="2206"/>
        <v>0</v>
      </c>
      <c r="AVH44" s="48"/>
      <c r="AVI44" s="49"/>
      <c r="AVJ44" s="49"/>
      <c r="AVK44" s="49"/>
      <c r="AVL44" s="49"/>
      <c r="AVM44" s="49"/>
      <c r="AVN44" s="67">
        <f t="shared" si="2207"/>
        <v>0</v>
      </c>
      <c r="AVO44" s="68">
        <f t="shared" si="2208"/>
        <v>0</v>
      </c>
      <c r="AVP44" s="48"/>
      <c r="AVQ44" s="49"/>
      <c r="AVR44" s="49"/>
      <c r="AVS44" s="49"/>
      <c r="AVT44" s="49"/>
      <c r="AVU44" s="49"/>
      <c r="AVV44" s="67">
        <f t="shared" si="2209"/>
        <v>0</v>
      </c>
      <c r="AVW44" s="68">
        <f t="shared" si="2210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211"/>
        <v>525</v>
      </c>
      <c r="AWE44" s="68">
        <f t="shared" si="2212"/>
        <v>87.5</v>
      </c>
      <c r="AWF44" s="48"/>
      <c r="AWG44" s="49"/>
      <c r="AWH44" s="49"/>
      <c r="AWI44" s="49"/>
      <c r="AWJ44" s="49"/>
      <c r="AWK44" s="49"/>
      <c r="AWL44" s="67">
        <f t="shared" si="2213"/>
        <v>0</v>
      </c>
      <c r="AWM44" s="184">
        <f t="shared" si="2214"/>
        <v>0</v>
      </c>
      <c r="AWN44" s="48"/>
      <c r="AWO44" s="49"/>
      <c r="AWP44" s="49"/>
      <c r="AWQ44" s="49"/>
      <c r="AWR44" s="49"/>
      <c r="AWS44" s="49"/>
      <c r="AWT44" s="42">
        <f t="shared" si="2215"/>
        <v>0</v>
      </c>
      <c r="AWU44" s="43">
        <f t="shared" si="2216"/>
        <v>0</v>
      </c>
      <c r="AWV44" s="48"/>
      <c r="AWW44" s="49"/>
      <c r="AWX44" s="49"/>
      <c r="AWY44" s="49"/>
      <c r="AWZ44" s="49"/>
      <c r="AXA44" s="49"/>
      <c r="AXB44" s="42">
        <f t="shared" si="2217"/>
        <v>0</v>
      </c>
      <c r="AXC44" s="43">
        <f t="shared" si="2218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19"/>
        <v>199</v>
      </c>
      <c r="AXK44" s="43">
        <f t="shared" si="2220"/>
        <v>33.166666666666664</v>
      </c>
      <c r="AXL44" s="48"/>
      <c r="AXM44" s="49"/>
      <c r="AXN44" s="49"/>
      <c r="AXO44" s="49"/>
      <c r="AXP44" s="49"/>
      <c r="AXQ44" s="49"/>
      <c r="AXR44" s="42">
        <f t="shared" si="2221"/>
        <v>0</v>
      </c>
      <c r="AXS44" s="43">
        <f t="shared" si="2222"/>
        <v>0</v>
      </c>
      <c r="AXT44" s="48"/>
      <c r="AXU44" s="49"/>
      <c r="AXV44" s="49"/>
      <c r="AXW44" s="49"/>
      <c r="AXX44" s="49"/>
      <c r="AXY44" s="49"/>
      <c r="AXZ44" s="42">
        <f t="shared" si="2223"/>
        <v>0</v>
      </c>
      <c r="AYA44" s="43">
        <f t="shared" si="2224"/>
        <v>0</v>
      </c>
      <c r="AYB44" s="48"/>
      <c r="AYC44" s="49"/>
      <c r="AYD44" s="49"/>
      <c r="AYE44" s="49"/>
      <c r="AYF44" s="49"/>
      <c r="AYG44" s="49"/>
      <c r="AYH44" s="42">
        <f t="shared" si="2225"/>
        <v>0</v>
      </c>
      <c r="AYI44" s="43">
        <f t="shared" si="2226"/>
        <v>0</v>
      </c>
      <c r="AYJ44" s="48"/>
      <c r="AYK44" s="49"/>
      <c r="AYL44" s="49"/>
      <c r="AYM44" s="49"/>
      <c r="AYN44" s="49"/>
      <c r="AYO44" s="49"/>
      <c r="AYP44" s="42">
        <f t="shared" si="2227"/>
        <v>0</v>
      </c>
      <c r="AYQ44" s="43">
        <f t="shared" si="2228"/>
        <v>0</v>
      </c>
      <c r="AYR44" s="48"/>
      <c r="AYS44" s="49"/>
      <c r="AYT44" s="49"/>
      <c r="AYU44" s="49"/>
      <c r="AYV44" s="49"/>
      <c r="AYW44" s="49"/>
      <c r="AYX44" s="42">
        <f t="shared" si="2229"/>
        <v>0</v>
      </c>
      <c r="AYY44" s="43">
        <f t="shared" si="2230"/>
        <v>0</v>
      </c>
      <c r="AYZ44" s="48"/>
      <c r="AZA44" s="49"/>
      <c r="AZB44" s="49"/>
      <c r="AZC44" s="49"/>
      <c r="AZD44" s="49"/>
      <c r="AZE44" s="49"/>
      <c r="AZF44" s="42">
        <f t="shared" si="2231"/>
        <v>0</v>
      </c>
      <c r="AZG44" s="43">
        <f t="shared" si="2232"/>
        <v>0</v>
      </c>
      <c r="AZH44" s="48"/>
      <c r="AZI44" s="49"/>
      <c r="AZJ44" s="49"/>
      <c r="AZK44" s="49"/>
      <c r="AZL44" s="49"/>
      <c r="AZM44" s="49"/>
      <c r="AZN44" s="42">
        <f t="shared" si="2233"/>
        <v>0</v>
      </c>
      <c r="AZO44" s="43">
        <f t="shared" si="2234"/>
        <v>0</v>
      </c>
      <c r="AZP44" s="48"/>
      <c r="AZQ44" s="49"/>
      <c r="AZR44" s="49"/>
      <c r="AZS44" s="49"/>
      <c r="AZT44" s="49"/>
      <c r="AZU44" s="49"/>
      <c r="AZV44" s="42">
        <f t="shared" si="2235"/>
        <v>0</v>
      </c>
      <c r="AZW44" s="43">
        <f t="shared" si="2236"/>
        <v>0</v>
      </c>
      <c r="AZX44" s="82"/>
      <c r="AZY44" s="83"/>
      <c r="AZZ44" s="83"/>
      <c r="BAA44" s="83"/>
      <c r="BAB44" s="83"/>
      <c r="BAC44" s="83"/>
      <c r="BAD44" s="42">
        <f t="shared" si="2237"/>
        <v>0</v>
      </c>
      <c r="BAE44" s="43">
        <f t="shared" si="2238"/>
        <v>0</v>
      </c>
      <c r="BAF44" s="48"/>
      <c r="BAG44" s="49"/>
      <c r="BAH44" s="49"/>
      <c r="BAI44" s="49"/>
      <c r="BAJ44" s="49"/>
      <c r="BAK44" s="49"/>
      <c r="BAL44" s="42">
        <f t="shared" si="2239"/>
        <v>0</v>
      </c>
      <c r="BAM44" s="43">
        <f t="shared" si="2240"/>
        <v>0</v>
      </c>
      <c r="BAN44" s="48"/>
      <c r="BAO44" s="49"/>
      <c r="BAP44" s="49"/>
      <c r="BAQ44" s="49"/>
      <c r="BAR44" s="49"/>
      <c r="BAS44" s="49"/>
      <c r="BAT44" s="42">
        <f t="shared" si="2241"/>
        <v>0</v>
      </c>
      <c r="BAU44" s="43">
        <f t="shared" si="2242"/>
        <v>0</v>
      </c>
      <c r="BAV44" s="48"/>
      <c r="BAW44" s="49"/>
      <c r="BAX44" s="49"/>
      <c r="BAY44" s="49"/>
      <c r="BAZ44" s="49"/>
      <c r="BBA44" s="49"/>
      <c r="BBB44" s="42">
        <f t="shared" si="2243"/>
        <v>0</v>
      </c>
      <c r="BBC44" s="43">
        <f t="shared" si="2244"/>
        <v>0</v>
      </c>
      <c r="BBD44" s="48"/>
      <c r="BBE44" s="49"/>
      <c r="BBF44" s="49"/>
      <c r="BBG44" s="49"/>
      <c r="BBH44" s="49"/>
      <c r="BBI44" s="49"/>
      <c r="BBJ44" s="42">
        <f t="shared" si="2245"/>
        <v>0</v>
      </c>
      <c r="BBK44" s="43">
        <f t="shared" si="2246"/>
        <v>0</v>
      </c>
      <c r="BBL44" s="48"/>
      <c r="BBM44" s="49"/>
      <c r="BBN44" s="49"/>
      <c r="BBO44" s="49"/>
      <c r="BBP44" s="49"/>
      <c r="BBQ44" s="49"/>
      <c r="BBR44" s="42">
        <f t="shared" si="2247"/>
        <v>0</v>
      </c>
      <c r="BBS44" s="43">
        <f t="shared" si="2248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49"/>
        <v>10</v>
      </c>
      <c r="BCA44" s="43">
        <f t="shared" si="2250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51"/>
        <v>195</v>
      </c>
      <c r="BCI44" s="43">
        <f t="shared" si="2252"/>
        <v>32.5</v>
      </c>
      <c r="BCJ44" s="48"/>
      <c r="BCK44" s="49"/>
      <c r="BCL44" s="49"/>
      <c r="BCM44" s="49"/>
      <c r="BCN44" s="49"/>
      <c r="BCO44" s="49"/>
      <c r="BCP44" s="42">
        <f t="shared" si="2253"/>
        <v>0</v>
      </c>
      <c r="BCQ44" s="43">
        <f t="shared" si="2254"/>
        <v>0</v>
      </c>
      <c r="BCR44" s="48"/>
      <c r="BCS44" s="49"/>
      <c r="BCT44" s="49"/>
      <c r="BCU44" s="49"/>
      <c r="BCV44" s="49"/>
      <c r="BCW44" s="49"/>
      <c r="BCX44" s="42">
        <f t="shared" si="2255"/>
        <v>0</v>
      </c>
      <c r="BCY44" s="43">
        <f t="shared" si="2256"/>
        <v>0</v>
      </c>
      <c r="BCZ44" s="48"/>
      <c r="BDA44" s="49"/>
      <c r="BDB44" s="49"/>
      <c r="BDC44" s="49"/>
      <c r="BDD44" s="49"/>
      <c r="BDE44" s="49"/>
      <c r="BDF44" s="42">
        <f t="shared" si="2257"/>
        <v>0</v>
      </c>
      <c r="BDG44" s="43">
        <f t="shared" si="2258"/>
        <v>0</v>
      </c>
      <c r="BDH44" s="48"/>
      <c r="BDI44" s="49"/>
      <c r="BDJ44" s="49"/>
      <c r="BDK44" s="49"/>
      <c r="BDL44" s="49"/>
      <c r="BDM44" s="49"/>
      <c r="BDN44" s="42">
        <f t="shared" si="2259"/>
        <v>0</v>
      </c>
      <c r="BDO44" s="43">
        <f t="shared" si="2260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61"/>
        <v>203</v>
      </c>
      <c r="BDW44" s="43">
        <f t="shared" si="2262"/>
        <v>33.833333333333336</v>
      </c>
      <c r="BDX44" s="48"/>
      <c r="BDY44" s="49"/>
      <c r="BDZ44" s="49"/>
      <c r="BEA44" s="49"/>
      <c r="BEB44" s="49"/>
      <c r="BEC44" s="49"/>
      <c r="BED44" s="42">
        <f t="shared" si="2263"/>
        <v>0</v>
      </c>
      <c r="BEE44" s="43">
        <f t="shared" si="2264"/>
        <v>0</v>
      </c>
      <c r="BEF44" s="48"/>
      <c r="BEG44" s="49"/>
      <c r="BEH44" s="49"/>
      <c r="BEI44" s="49"/>
      <c r="BEJ44" s="49"/>
      <c r="BEK44" s="49"/>
      <c r="BEL44" s="42">
        <f t="shared" si="2265"/>
        <v>0</v>
      </c>
      <c r="BEM44" s="43">
        <f t="shared" si="2266"/>
        <v>0</v>
      </c>
      <c r="BEN44" s="48"/>
      <c r="BEO44" s="49"/>
      <c r="BEP44" s="49"/>
      <c r="BEQ44" s="49"/>
      <c r="BER44" s="49"/>
      <c r="BES44" s="49"/>
      <c r="BET44" s="42">
        <f t="shared" si="2267"/>
        <v>0</v>
      </c>
      <c r="BEU44" s="43">
        <f t="shared" si="2268"/>
        <v>0</v>
      </c>
      <c r="BEV44" s="82"/>
      <c r="BEW44" s="83"/>
      <c r="BEX44" s="83"/>
      <c r="BEY44" s="83"/>
      <c r="BEZ44" s="83"/>
      <c r="BFA44" s="83"/>
      <c r="BFB44" s="42">
        <f t="shared" si="2269"/>
        <v>0</v>
      </c>
      <c r="BFC44" s="43">
        <f t="shared" si="2270"/>
        <v>0</v>
      </c>
      <c r="BFD44" s="48"/>
      <c r="BFE44" s="49"/>
      <c r="BFF44" s="49"/>
      <c r="BFG44" s="49"/>
      <c r="BFH44" s="49"/>
      <c r="BFI44" s="49"/>
      <c r="BFJ44" s="42">
        <f t="shared" si="2271"/>
        <v>0</v>
      </c>
      <c r="BFK44" s="43">
        <f t="shared" si="2272"/>
        <v>0</v>
      </c>
      <c r="BFL44" s="48"/>
      <c r="BFM44" s="49"/>
      <c r="BFN44" s="49"/>
      <c r="BFO44" s="49"/>
      <c r="BFP44" s="49"/>
      <c r="BFQ44" s="49"/>
      <c r="BFR44" s="42">
        <f t="shared" si="2273"/>
        <v>0</v>
      </c>
      <c r="BFS44" s="43">
        <f t="shared" si="2274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75"/>
        <v>220</v>
      </c>
      <c r="BGA44" s="43">
        <f t="shared" si="2276"/>
        <v>36.666666666666664</v>
      </c>
      <c r="BGB44" s="48"/>
      <c r="BGC44" s="49"/>
      <c r="BGD44" s="49"/>
      <c r="BGE44" s="49"/>
      <c r="BGF44" s="49"/>
      <c r="BGG44" s="49"/>
      <c r="BGH44" s="42">
        <f t="shared" si="2277"/>
        <v>0</v>
      </c>
      <c r="BGI44" s="43">
        <f t="shared" si="2278"/>
        <v>0</v>
      </c>
      <c r="BGJ44" s="48"/>
      <c r="BGK44" s="49"/>
      <c r="BGL44" s="49"/>
      <c r="BGM44" s="49"/>
      <c r="BGN44" s="49"/>
      <c r="BGO44" s="49"/>
      <c r="BGP44" s="42">
        <f t="shared" si="2279"/>
        <v>0</v>
      </c>
      <c r="BGQ44" s="43">
        <f t="shared" si="2280"/>
        <v>0</v>
      </c>
      <c r="BGR44" s="48"/>
      <c r="BGS44" s="49"/>
      <c r="BGT44" s="49"/>
      <c r="BGU44" s="49"/>
      <c r="BGV44" s="49"/>
      <c r="BGW44" s="49"/>
      <c r="BGX44" s="42">
        <f t="shared" si="2281"/>
        <v>0</v>
      </c>
      <c r="BGY44" s="43">
        <f t="shared" si="2282"/>
        <v>0</v>
      </c>
      <c r="BGZ44" s="239"/>
      <c r="BHA44" s="1"/>
      <c r="BHB44" s="1"/>
      <c r="BHC44" s="1"/>
      <c r="BHD44" s="1"/>
      <c r="BHE44" s="1"/>
      <c r="BHF44" s="42">
        <f t="shared" si="2283"/>
        <v>0</v>
      </c>
      <c r="BHG44" s="43">
        <f t="shared" si="2284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85"/>
        <v>245</v>
      </c>
      <c r="BHO44" s="43">
        <f t="shared" si="2286"/>
        <v>40.833333333333336</v>
      </c>
      <c r="BHP44" s="48"/>
      <c r="BHQ44" s="49"/>
      <c r="BHR44" s="49"/>
      <c r="BHS44" s="49"/>
      <c r="BHT44" s="49"/>
      <c r="BHU44" s="49"/>
      <c r="BHV44" s="42">
        <f t="shared" si="2287"/>
        <v>0</v>
      </c>
      <c r="BHW44" s="43">
        <f t="shared" si="2288"/>
        <v>0</v>
      </c>
      <c r="BHX44" s="48"/>
      <c r="BHY44" s="49"/>
      <c r="BHZ44" s="49"/>
      <c r="BIA44" s="49"/>
      <c r="BIB44" s="49"/>
      <c r="BIC44" s="49"/>
      <c r="BID44" s="42">
        <f t="shared" si="2289"/>
        <v>0</v>
      </c>
      <c r="BIE44" s="43">
        <f t="shared" si="2290"/>
        <v>0</v>
      </c>
      <c r="BIF44" s="48"/>
      <c r="BIG44" s="49"/>
      <c r="BIH44" s="49"/>
      <c r="BII44" s="49"/>
      <c r="BIJ44" s="49"/>
      <c r="BIK44" s="49"/>
      <c r="BIL44" s="42">
        <f t="shared" si="2291"/>
        <v>0</v>
      </c>
      <c r="BIM44" s="43">
        <f t="shared" si="2292"/>
        <v>0</v>
      </c>
      <c r="BIN44" s="48"/>
      <c r="BIO44" s="49"/>
      <c r="BIP44" s="49"/>
      <c r="BIQ44" s="49"/>
      <c r="BIR44" s="49"/>
      <c r="BIS44" s="49"/>
      <c r="BIT44" s="42">
        <f t="shared" si="2293"/>
        <v>0</v>
      </c>
      <c r="BIU44" s="101">
        <f t="shared" si="2294"/>
        <v>0</v>
      </c>
      <c r="BIV44" s="195"/>
      <c r="BIW44" s="49"/>
      <c r="BIX44" s="49"/>
      <c r="BIY44" s="49"/>
      <c r="BIZ44" s="49"/>
      <c r="BJA44" s="49"/>
      <c r="BJB44" s="42">
        <f t="shared" si="2295"/>
        <v>0</v>
      </c>
      <c r="BJC44" s="101">
        <f t="shared" si="2296"/>
        <v>0</v>
      </c>
      <c r="BJD44" s="48"/>
      <c r="BJE44" s="49"/>
      <c r="BJF44" s="49"/>
      <c r="BJG44" s="49"/>
      <c r="BJH44" s="49"/>
      <c r="BJI44" s="49"/>
      <c r="BJJ44" s="42">
        <f t="shared" si="2297"/>
        <v>0</v>
      </c>
      <c r="BJK44" s="43">
        <f t="shared" si="2298"/>
        <v>0</v>
      </c>
      <c r="BJL44" s="48"/>
      <c r="BJM44" s="49"/>
      <c r="BJN44" s="49"/>
      <c r="BJO44" s="49"/>
      <c r="BJP44" s="49"/>
      <c r="BJQ44" s="49"/>
      <c r="BJR44" s="42">
        <f t="shared" si="2299"/>
        <v>0</v>
      </c>
      <c r="BJS44" s="43">
        <f t="shared" si="2300"/>
        <v>0</v>
      </c>
      <c r="BJT44" s="48"/>
      <c r="BJU44" s="49"/>
      <c r="BJV44" s="49"/>
      <c r="BJW44" s="49"/>
      <c r="BJX44" s="49"/>
      <c r="BJY44" s="49"/>
      <c r="BJZ44" s="42">
        <f t="shared" si="2301"/>
        <v>0</v>
      </c>
      <c r="BKA44" s="43">
        <f t="shared" si="2302"/>
        <v>0</v>
      </c>
      <c r="BKB44" s="48"/>
      <c r="BKC44" s="49"/>
      <c r="BKD44" s="49"/>
      <c r="BKE44" s="49"/>
      <c r="BKF44" s="49"/>
      <c r="BKG44" s="49"/>
      <c r="BKH44" s="67">
        <f t="shared" si="2303"/>
        <v>0</v>
      </c>
      <c r="BKI44" s="68">
        <f t="shared" si="2304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305"/>
        <v>100</v>
      </c>
      <c r="BKQ44" s="43">
        <f t="shared" si="2306"/>
        <v>16.666666666666668</v>
      </c>
      <c r="BKR44" s="48"/>
      <c r="BKS44" s="49"/>
      <c r="BKT44" s="49"/>
      <c r="BKU44" s="49"/>
      <c r="BKV44" s="49"/>
      <c r="BKW44" s="49"/>
      <c r="BKX44" s="42">
        <f t="shared" si="2307"/>
        <v>0</v>
      </c>
      <c r="BKY44" s="43">
        <f t="shared" si="2308"/>
        <v>0</v>
      </c>
      <c r="BKZ44" s="48"/>
      <c r="BLA44" s="49"/>
      <c r="BLB44" s="49"/>
      <c r="BLC44" s="49"/>
      <c r="BLD44" s="49"/>
      <c r="BLE44" s="49"/>
      <c r="BLF44" s="42">
        <f t="shared" si="2309"/>
        <v>0</v>
      </c>
      <c r="BLG44" s="43">
        <f t="shared" si="2310"/>
        <v>0</v>
      </c>
      <c r="BLH44" s="48"/>
      <c r="BLI44" s="49"/>
      <c r="BLJ44" s="49"/>
      <c r="BLK44" s="49"/>
      <c r="BLL44" s="49"/>
      <c r="BLM44" s="49"/>
      <c r="BLN44" s="42">
        <f t="shared" si="2311"/>
        <v>0</v>
      </c>
      <c r="BLO44" s="43">
        <f t="shared" si="2312"/>
        <v>0</v>
      </c>
      <c r="BLP44" s="48"/>
      <c r="BLQ44" s="49"/>
      <c r="BLR44" s="49"/>
      <c r="BLS44" s="49"/>
      <c r="BLT44" s="49"/>
      <c r="BLU44" s="49"/>
      <c r="BLV44" s="42">
        <f t="shared" si="2313"/>
        <v>0</v>
      </c>
      <c r="BLW44" s="43">
        <f t="shared" si="2314"/>
        <v>0</v>
      </c>
      <c r="BLX44" s="48"/>
      <c r="BLY44" s="49"/>
      <c r="BLZ44" s="49"/>
      <c r="BMA44" s="49"/>
      <c r="BMB44" s="49"/>
      <c r="BMC44" s="49"/>
      <c r="BMD44" s="42">
        <f t="shared" si="2315"/>
        <v>0</v>
      </c>
      <c r="BME44" s="43">
        <f t="shared" si="2316"/>
        <v>0</v>
      </c>
      <c r="BMF44" s="48"/>
      <c r="BMG44" s="49"/>
      <c r="BMH44" s="49"/>
      <c r="BMI44" s="49"/>
      <c r="BMJ44" s="49"/>
      <c r="BMK44" s="49"/>
      <c r="BML44" s="42">
        <f t="shared" si="2317"/>
        <v>0</v>
      </c>
      <c r="BMM44" s="43">
        <f t="shared" si="2318"/>
        <v>0</v>
      </c>
      <c r="BMN44" s="48"/>
      <c r="BMO44" s="49"/>
      <c r="BMP44" s="49"/>
      <c r="BMQ44" s="49"/>
      <c r="BMR44" s="49"/>
      <c r="BMS44" s="49"/>
      <c r="BMT44" s="42">
        <f t="shared" si="2319"/>
        <v>0</v>
      </c>
      <c r="BMU44" s="43">
        <f t="shared" si="2320"/>
        <v>0</v>
      </c>
      <c r="BMV44" s="48"/>
      <c r="BMW44" s="49"/>
      <c r="BMX44" s="49"/>
      <c r="BMY44" s="49"/>
      <c r="BMZ44" s="49"/>
      <c r="BNA44" s="49"/>
      <c r="BNB44" s="42">
        <f t="shared" si="2321"/>
        <v>0</v>
      </c>
      <c r="BNC44" s="43">
        <f t="shared" si="2322"/>
        <v>0</v>
      </c>
      <c r="BND44" s="48"/>
      <c r="BNE44" s="49"/>
      <c r="BNF44" s="49"/>
      <c r="BNG44" s="49"/>
      <c r="BNH44" s="49"/>
      <c r="BNI44" s="49"/>
      <c r="BNJ44" s="42">
        <f t="shared" si="2323"/>
        <v>0</v>
      </c>
      <c r="BNK44" s="43">
        <f t="shared" si="2324"/>
        <v>0</v>
      </c>
      <c r="BNL44" s="48"/>
      <c r="BNM44" s="49"/>
      <c r="BNN44" s="49"/>
      <c r="BNO44" s="49"/>
      <c r="BNP44" s="49"/>
      <c r="BNQ44" s="49"/>
      <c r="BNR44" s="42">
        <f t="shared" si="2325"/>
        <v>0</v>
      </c>
      <c r="BNS44" s="43">
        <f t="shared" si="2326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27"/>
        <v>597</v>
      </c>
      <c r="BOA44" s="43">
        <f t="shared" si="2328"/>
        <v>99.5</v>
      </c>
      <c r="BOB44" s="48"/>
      <c r="BOC44" s="49"/>
      <c r="BOD44" s="49"/>
      <c r="BOE44" s="49"/>
      <c r="BOF44" s="49"/>
      <c r="BOG44" s="49"/>
      <c r="BOH44" s="42">
        <f t="shared" si="2329"/>
        <v>0</v>
      </c>
      <c r="BOI44" s="43">
        <f t="shared" si="2330"/>
        <v>0</v>
      </c>
      <c r="BOJ44" s="48"/>
      <c r="BOK44" s="49"/>
      <c r="BOL44" s="49"/>
      <c r="BOM44" s="49"/>
      <c r="BON44" s="49"/>
      <c r="BOO44" s="49"/>
      <c r="BOP44" s="42">
        <f t="shared" si="2331"/>
        <v>0</v>
      </c>
      <c r="BOQ44" s="43">
        <f t="shared" si="2332"/>
        <v>0</v>
      </c>
      <c r="BOR44" s="48"/>
      <c r="BOS44" s="49"/>
      <c r="BOT44" s="49"/>
      <c r="BOU44" s="49"/>
      <c r="BOV44" s="49"/>
      <c r="BOW44" s="49"/>
      <c r="BOX44" s="42">
        <f t="shared" si="2333"/>
        <v>0</v>
      </c>
      <c r="BOY44" s="43">
        <f t="shared" si="2334"/>
        <v>0</v>
      </c>
      <c r="BOZ44" s="48"/>
      <c r="BPA44" s="49"/>
      <c r="BPB44" s="49"/>
      <c r="BPC44" s="49"/>
      <c r="BPD44" s="49"/>
      <c r="BPE44" s="49"/>
      <c r="BPF44" s="42">
        <f t="shared" si="2335"/>
        <v>0</v>
      </c>
      <c r="BPG44" s="43">
        <f t="shared" si="2336"/>
        <v>0</v>
      </c>
      <c r="BPH44" s="48"/>
      <c r="BPI44" s="49"/>
      <c r="BPJ44" s="49"/>
      <c r="BPK44" s="49"/>
      <c r="BPL44" s="49"/>
      <c r="BPM44" s="49"/>
      <c r="BPN44" s="42">
        <f t="shared" si="2337"/>
        <v>0</v>
      </c>
      <c r="BPO44" s="43">
        <f t="shared" si="2338"/>
        <v>0</v>
      </c>
      <c r="BPP44" s="48"/>
      <c r="BPQ44" s="49"/>
      <c r="BPR44" s="49"/>
      <c r="BPS44" s="49"/>
      <c r="BPT44" s="49"/>
      <c r="BPU44" s="49"/>
      <c r="BPV44" s="42">
        <f t="shared" si="2339"/>
        <v>0</v>
      </c>
      <c r="BPW44" s="43">
        <f t="shared" si="2340"/>
        <v>0</v>
      </c>
      <c r="BPX44" s="48"/>
      <c r="BPY44" s="49"/>
      <c r="BPZ44" s="49"/>
      <c r="BQA44" s="49"/>
      <c r="BQB44" s="49"/>
      <c r="BQC44" s="49"/>
      <c r="BQD44" s="67">
        <f t="shared" si="2341"/>
        <v>0</v>
      </c>
      <c r="BQE44" s="43">
        <f t="shared" si="2342"/>
        <v>0</v>
      </c>
      <c r="BQF44" s="48"/>
      <c r="BQG44" s="49"/>
      <c r="BQH44" s="49"/>
      <c r="BQI44" s="49"/>
      <c r="BQJ44" s="49"/>
      <c r="BQK44" s="49"/>
      <c r="BQL44" s="67">
        <f t="shared" si="2343"/>
        <v>0</v>
      </c>
      <c r="BQM44" s="43">
        <f t="shared" si="2344"/>
        <v>0</v>
      </c>
      <c r="BQN44" s="48"/>
      <c r="BQO44" s="49"/>
      <c r="BQP44" s="49"/>
      <c r="BQQ44" s="49"/>
      <c r="BQR44" s="49"/>
      <c r="BQS44" s="49"/>
      <c r="BQT44" s="67">
        <f t="shared" si="2345"/>
        <v>0</v>
      </c>
      <c r="BQU44" s="43">
        <f t="shared" si="2346"/>
        <v>0</v>
      </c>
      <c r="BQV44" s="48"/>
      <c r="BQW44" s="49"/>
      <c r="BQX44" s="49"/>
      <c r="BQY44" s="49"/>
      <c r="BQZ44" s="49"/>
      <c r="BRA44" s="49"/>
      <c r="BRB44" s="67">
        <f t="shared" si="2347"/>
        <v>0</v>
      </c>
      <c r="BRC44" s="43">
        <f t="shared" si="2348"/>
        <v>0</v>
      </c>
      <c r="BRD44" s="48"/>
      <c r="BRE44" s="49"/>
      <c r="BRF44" s="49"/>
      <c r="BRG44" s="49"/>
      <c r="BRH44" s="49"/>
      <c r="BRI44" s="49"/>
      <c r="BRJ44" s="67">
        <f t="shared" si="2349"/>
        <v>0</v>
      </c>
      <c r="BRK44" s="43">
        <f t="shared" si="2350"/>
        <v>0</v>
      </c>
      <c r="BRL44" s="48"/>
      <c r="BRM44" s="49"/>
      <c r="BRN44" s="49"/>
      <c r="BRO44" s="49"/>
      <c r="BRP44" s="49"/>
      <c r="BRQ44" s="49"/>
      <c r="BRR44" s="67">
        <f t="shared" si="2351"/>
        <v>0</v>
      </c>
      <c r="BRS44" s="68">
        <f t="shared" si="2352"/>
        <v>0</v>
      </c>
      <c r="BRT44" s="63"/>
      <c r="BRU44" s="64"/>
      <c r="BRV44" s="64"/>
      <c r="BRW44" s="64"/>
      <c r="BRX44" s="64"/>
      <c r="BRY44" s="64"/>
      <c r="BRZ44" s="67">
        <f t="shared" si="2353"/>
        <v>0</v>
      </c>
      <c r="BSA44" s="43">
        <f t="shared" si="2354"/>
        <v>0</v>
      </c>
      <c r="BSB44" s="48"/>
      <c r="BSC44" s="49"/>
      <c r="BSD44" s="49"/>
      <c r="BSE44" s="49"/>
      <c r="BSF44" s="49"/>
      <c r="BSG44" s="49"/>
      <c r="BSH44" s="67">
        <f t="shared" si="2355"/>
        <v>0</v>
      </c>
      <c r="BSI44" s="43">
        <f t="shared" si="2356"/>
        <v>0</v>
      </c>
      <c r="BSJ44" s="48"/>
      <c r="BSK44" s="49"/>
      <c r="BSL44" s="49"/>
      <c r="BSM44" s="49"/>
      <c r="BSN44" s="49"/>
      <c r="BSO44" s="49"/>
      <c r="BSP44" s="67">
        <f t="shared" si="2357"/>
        <v>0</v>
      </c>
      <c r="BSQ44" s="43">
        <f t="shared" si="2358"/>
        <v>0</v>
      </c>
      <c r="BSR44" s="48"/>
      <c r="BSS44" s="49"/>
      <c r="BST44" s="49"/>
      <c r="BSU44" s="49"/>
      <c r="BSV44" s="49"/>
      <c r="BSW44" s="49"/>
      <c r="BSX44" s="67">
        <f t="shared" si="2359"/>
        <v>0</v>
      </c>
      <c r="BSY44" s="43">
        <f t="shared" si="2360"/>
        <v>0</v>
      </c>
      <c r="BSZ44" s="48"/>
      <c r="BTA44" s="49"/>
      <c r="BTB44" s="49"/>
      <c r="BTC44" s="49"/>
      <c r="BTD44" s="49"/>
      <c r="BTE44" s="49"/>
      <c r="BTF44" s="67">
        <f t="shared" si="2361"/>
        <v>0</v>
      </c>
      <c r="BTG44" s="43">
        <f t="shared" si="2362"/>
        <v>0</v>
      </c>
      <c r="BTH44" s="48"/>
      <c r="BTI44" s="49"/>
      <c r="BTJ44" s="49"/>
      <c r="BTK44" s="49"/>
      <c r="BTL44" s="49"/>
      <c r="BTM44" s="49"/>
      <c r="BTN44" s="67">
        <f t="shared" si="2363"/>
        <v>0</v>
      </c>
      <c r="BTO44" s="68">
        <f t="shared" si="2364"/>
        <v>0</v>
      </c>
      <c r="BTP44" s="48"/>
      <c r="BTQ44" s="49"/>
      <c r="BTR44" s="49"/>
      <c r="BTS44" s="49"/>
      <c r="BTT44" s="49"/>
      <c r="BTU44" s="49"/>
      <c r="BTV44" s="67">
        <f t="shared" si="2365"/>
        <v>0</v>
      </c>
      <c r="BTW44" s="43">
        <f t="shared" si="2366"/>
        <v>0</v>
      </c>
      <c r="BTX44" s="48"/>
      <c r="BTY44" s="49"/>
      <c r="BTZ44" s="49"/>
      <c r="BUA44" s="49"/>
      <c r="BUB44" s="49"/>
      <c r="BUC44" s="49"/>
      <c r="BUD44" s="67">
        <f t="shared" si="2367"/>
        <v>0</v>
      </c>
      <c r="BUE44" s="68">
        <f t="shared" si="2368"/>
        <v>0</v>
      </c>
      <c r="BUF44" s="48"/>
      <c r="BUG44" s="49"/>
      <c r="BUH44" s="49"/>
      <c r="BUI44" s="49"/>
      <c r="BUJ44" s="49"/>
      <c r="BUK44" s="49"/>
      <c r="BUL44" s="67">
        <f t="shared" si="2369"/>
        <v>0</v>
      </c>
      <c r="BUM44" s="68">
        <f t="shared" si="2370"/>
        <v>0</v>
      </c>
      <c r="BUN44" s="48"/>
      <c r="BUO44" s="49"/>
      <c r="BUP44" s="49"/>
      <c r="BUQ44" s="49"/>
      <c r="BUR44" s="49"/>
      <c r="BUS44" s="49"/>
      <c r="BUT44" s="67">
        <f t="shared" si="2371"/>
        <v>0</v>
      </c>
      <c r="BUU44" s="68">
        <f t="shared" si="2372"/>
        <v>0</v>
      </c>
      <c r="BUV44" s="48"/>
      <c r="BUW44" s="49"/>
      <c r="BUX44" s="49"/>
      <c r="BUY44" s="49"/>
      <c r="BUZ44" s="49"/>
      <c r="BVA44" s="49"/>
      <c r="BVB44" s="67">
        <f t="shared" si="2373"/>
        <v>0</v>
      </c>
      <c r="BVC44" s="68">
        <f t="shared" si="2374"/>
        <v>0</v>
      </c>
      <c r="BVD44" s="48"/>
      <c r="BVE44" s="49"/>
      <c r="BVF44" s="49"/>
      <c r="BVG44" s="49"/>
      <c r="BVH44" s="49"/>
      <c r="BVI44" s="49"/>
      <c r="BVJ44" s="67">
        <f t="shared" si="2375"/>
        <v>0</v>
      </c>
      <c r="BVK44" s="68">
        <f t="shared" si="2376"/>
        <v>0</v>
      </c>
      <c r="BVL44" s="48"/>
      <c r="BVM44" s="49"/>
      <c r="BVN44" s="49"/>
      <c r="BVO44" s="49"/>
      <c r="BVP44" s="49"/>
      <c r="BVQ44" s="49"/>
      <c r="BVR44" s="67">
        <f t="shared" si="2377"/>
        <v>0</v>
      </c>
      <c r="BVS44" s="68">
        <f t="shared" si="2378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79"/>
        <v>270</v>
      </c>
      <c r="BWA44" s="68">
        <f t="shared" si="2380"/>
        <v>45</v>
      </c>
      <c r="BWB44" s="48"/>
      <c r="BWC44" s="49"/>
      <c r="BWD44" s="49"/>
      <c r="BWE44" s="49"/>
      <c r="BWF44" s="49"/>
      <c r="BWG44" s="49"/>
      <c r="BWH44" s="67">
        <f t="shared" si="2381"/>
        <v>0</v>
      </c>
      <c r="BWI44" s="68">
        <f t="shared" si="2382"/>
        <v>0</v>
      </c>
      <c r="BWJ44" s="48"/>
      <c r="BWK44" s="49"/>
      <c r="BWL44" s="49"/>
      <c r="BWM44" s="49"/>
      <c r="BWN44" s="49"/>
      <c r="BWO44" s="49"/>
      <c r="BWP44" s="67">
        <f t="shared" si="2383"/>
        <v>0</v>
      </c>
      <c r="BWQ44" s="68">
        <f t="shared" si="2384"/>
        <v>0</v>
      </c>
      <c r="BWR44" s="48"/>
      <c r="BWS44" s="49"/>
      <c r="BWT44" s="49"/>
      <c r="BWU44" s="49"/>
      <c r="BWV44" s="49"/>
      <c r="BWW44" s="49"/>
      <c r="BWX44" s="67">
        <f t="shared" si="2385"/>
        <v>0</v>
      </c>
      <c r="BWY44" s="68">
        <f t="shared" si="2386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87"/>
        <v>100</v>
      </c>
      <c r="BXG44" s="68">
        <f t="shared" si="2388"/>
        <v>16.666666666666668</v>
      </c>
      <c r="BXH44" s="48"/>
      <c r="BXI44" s="49"/>
      <c r="BXJ44" s="49"/>
      <c r="BXK44" s="49"/>
      <c r="BXL44" s="49"/>
      <c r="BXM44" s="49"/>
      <c r="BXN44" s="67">
        <f t="shared" si="2389"/>
        <v>0</v>
      </c>
      <c r="BXO44" s="68">
        <f t="shared" si="2390"/>
        <v>0</v>
      </c>
      <c r="BXP44" s="48"/>
      <c r="BXQ44" s="49"/>
      <c r="BXR44" s="49"/>
      <c r="BXS44" s="49"/>
      <c r="BXT44" s="49"/>
      <c r="BXU44" s="49"/>
      <c r="BXV44" s="67">
        <f t="shared" si="2391"/>
        <v>0</v>
      </c>
      <c r="BXW44" s="68">
        <f t="shared" si="1596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92"/>
        <v>50</v>
      </c>
      <c r="BYE44" s="68">
        <f t="shared" si="2393"/>
        <v>8.3333333333333339</v>
      </c>
      <c r="BYF44" s="48"/>
      <c r="BYG44" s="49"/>
      <c r="BYH44" s="49"/>
      <c r="BYI44" s="49"/>
      <c r="BYJ44" s="49"/>
      <c r="BYK44" s="49"/>
      <c r="BYL44" s="67">
        <f t="shared" si="2394"/>
        <v>0</v>
      </c>
      <c r="BYM44" s="68">
        <f t="shared" si="2395"/>
        <v>0</v>
      </c>
      <c r="BYN44" s="48"/>
      <c r="BYO44" s="49"/>
      <c r="BYP44" s="49"/>
      <c r="BYQ44" s="49"/>
      <c r="BYR44" s="49"/>
      <c r="BYS44" s="49"/>
      <c r="BYT44" s="67">
        <f t="shared" si="2396"/>
        <v>0</v>
      </c>
      <c r="BYU44" s="68">
        <f t="shared" si="2397"/>
        <v>0</v>
      </c>
      <c r="BYV44" s="48"/>
      <c r="BYW44" s="49"/>
      <c r="BYX44" s="49"/>
      <c r="BYY44" s="49"/>
      <c r="BYZ44" s="49"/>
      <c r="BZA44" s="49"/>
      <c r="BZB44" s="67">
        <f t="shared" si="2398"/>
        <v>0</v>
      </c>
      <c r="BZC44" s="68">
        <f t="shared" si="2399"/>
        <v>0</v>
      </c>
      <c r="BZD44" s="48"/>
      <c r="BZE44" s="49"/>
      <c r="BZF44" s="49"/>
      <c r="BZG44" s="49"/>
      <c r="BZH44" s="49"/>
      <c r="BZI44" s="49"/>
      <c r="BZJ44" s="67">
        <f t="shared" si="2400"/>
        <v>0</v>
      </c>
      <c r="BZK44" s="68">
        <f t="shared" si="2401"/>
        <v>0</v>
      </c>
      <c r="BZL44" s="48"/>
      <c r="BZM44" s="49"/>
      <c r="BZN44" s="49"/>
      <c r="BZO44" s="49"/>
      <c r="BZP44" s="49"/>
      <c r="BZQ44" s="49"/>
      <c r="BZR44" s="67">
        <f t="shared" si="2402"/>
        <v>0</v>
      </c>
      <c r="BZS44" s="68">
        <f t="shared" si="2403"/>
        <v>0</v>
      </c>
      <c r="BZT44" s="48"/>
      <c r="BZU44" s="49"/>
      <c r="BZV44" s="49"/>
      <c r="BZW44" s="49"/>
      <c r="BZX44" s="49"/>
      <c r="BZY44" s="49"/>
      <c r="BZZ44" s="67">
        <f t="shared" si="2404"/>
        <v>0</v>
      </c>
      <c r="CAA44" s="68">
        <f t="shared" si="2405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406"/>
        <v>150</v>
      </c>
      <c r="CAI44" s="68">
        <f t="shared" si="2407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408"/>
        <v>110</v>
      </c>
      <c r="CAQ44" s="68">
        <f t="shared" si="2409"/>
        <v>18.333333333333332</v>
      </c>
      <c r="CAR44" s="48"/>
      <c r="CAS44" s="49"/>
      <c r="CAT44" s="49"/>
      <c r="CAU44" s="49"/>
      <c r="CAV44" s="49"/>
      <c r="CAW44" s="49"/>
      <c r="CAX44" s="67">
        <f t="shared" si="2410"/>
        <v>0</v>
      </c>
      <c r="CAY44" s="68">
        <f t="shared" si="2411"/>
        <v>0</v>
      </c>
      <c r="CAZ44" s="48"/>
      <c r="CBA44" s="49"/>
      <c r="CBB44" s="49"/>
      <c r="CBC44" s="49"/>
      <c r="CBD44" s="49"/>
      <c r="CBE44" s="49"/>
      <c r="CBF44" s="67">
        <f t="shared" si="2412"/>
        <v>0</v>
      </c>
      <c r="CBG44" s="68">
        <f t="shared" si="2413"/>
        <v>0</v>
      </c>
      <c r="CBH44" s="48"/>
      <c r="CBI44" s="49"/>
      <c r="CBJ44" s="49"/>
      <c r="CBK44" s="49"/>
      <c r="CBL44" s="49"/>
      <c r="CBM44" s="49"/>
      <c r="CBN44" s="67">
        <f t="shared" si="2414"/>
        <v>0</v>
      </c>
      <c r="CBO44" s="68">
        <f t="shared" si="2415"/>
        <v>0</v>
      </c>
      <c r="CBP44" s="48"/>
      <c r="CBQ44" s="49"/>
      <c r="CBR44" s="49"/>
      <c r="CBS44" s="49"/>
      <c r="CBT44" s="49"/>
      <c r="CBU44" s="49"/>
      <c r="CBV44" s="67">
        <f t="shared" si="2416"/>
        <v>0</v>
      </c>
      <c r="CBW44" s="68">
        <f t="shared" si="2417"/>
        <v>0</v>
      </c>
      <c r="CBX44" s="48"/>
      <c r="CBY44" s="49"/>
      <c r="CBZ44" s="49"/>
      <c r="CCA44" s="49"/>
      <c r="CCB44" s="49"/>
      <c r="CCC44" s="49"/>
      <c r="CCD44" s="67">
        <f t="shared" si="2418"/>
        <v>0</v>
      </c>
      <c r="CCE44" s="68">
        <f t="shared" si="2419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20"/>
        <v>243</v>
      </c>
      <c r="CCM44" s="68">
        <f t="shared" si="2421"/>
        <v>40.5</v>
      </c>
      <c r="CCN44" s="48"/>
      <c r="CCO44" s="49"/>
      <c r="CCP44" s="49"/>
      <c r="CCQ44" s="49"/>
      <c r="CCR44" s="49"/>
      <c r="CCS44" s="49"/>
      <c r="CCT44" s="67">
        <f t="shared" si="2422"/>
        <v>0</v>
      </c>
      <c r="CCU44" s="68">
        <f t="shared" si="2423"/>
        <v>0</v>
      </c>
      <c r="CCV44" s="48"/>
      <c r="CCW44" s="49"/>
      <c r="CCX44" s="49"/>
      <c r="CCY44" s="49"/>
      <c r="CCZ44" s="49"/>
      <c r="CDA44" s="49"/>
      <c r="CDB44" s="67">
        <f t="shared" si="1641"/>
        <v>0</v>
      </c>
      <c r="CDC44" s="68">
        <f t="shared" si="1642"/>
        <v>0</v>
      </c>
      <c r="CDD44" s="48"/>
      <c r="CDE44" s="49"/>
      <c r="CDF44" s="49"/>
      <c r="CDG44" s="49"/>
      <c r="CDH44" s="49"/>
      <c r="CDI44" s="49"/>
      <c r="CDJ44" s="67">
        <f t="shared" si="1643"/>
        <v>0</v>
      </c>
      <c r="CDK44" s="68">
        <f t="shared" si="1644"/>
        <v>0</v>
      </c>
      <c r="CDL44" s="48"/>
      <c r="CDM44" s="49"/>
      <c r="CDN44" s="49"/>
      <c r="CDO44" s="49"/>
      <c r="CDP44" s="49"/>
      <c r="CDQ44" s="49"/>
      <c r="CDR44" s="67">
        <f t="shared" si="1645"/>
        <v>0</v>
      </c>
      <c r="CDS44" s="68">
        <f t="shared" si="1646"/>
        <v>0</v>
      </c>
      <c r="CDT44" s="48"/>
      <c r="CDU44" s="49"/>
      <c r="CDV44" s="49"/>
      <c r="CDW44" s="49"/>
      <c r="CDX44" s="49"/>
      <c r="CDY44" s="49"/>
      <c r="CDZ44" s="67">
        <f t="shared" si="1647"/>
        <v>0</v>
      </c>
      <c r="CEA44" s="68">
        <f t="shared" si="1648"/>
        <v>0</v>
      </c>
      <c r="CEB44" s="48"/>
      <c r="CEC44" s="49"/>
      <c r="CED44" s="49"/>
      <c r="CEE44" s="49"/>
      <c r="CEF44" s="49"/>
      <c r="CEG44" s="49"/>
      <c r="CEH44" s="67">
        <f t="shared" si="1649"/>
        <v>0</v>
      </c>
      <c r="CEI44" s="68">
        <f t="shared" si="1650"/>
        <v>0</v>
      </c>
      <c r="CEJ44" s="48"/>
      <c r="CEK44" s="49"/>
      <c r="CEL44" s="49"/>
      <c r="CEM44" s="49"/>
      <c r="CEN44" s="49"/>
      <c r="CEO44" s="49"/>
      <c r="CEP44" s="67">
        <f t="shared" si="1651"/>
        <v>0</v>
      </c>
      <c r="CEQ44" s="68">
        <f t="shared" si="1652"/>
        <v>0</v>
      </c>
      <c r="CER44" s="48"/>
      <c r="CES44" s="49"/>
      <c r="CET44" s="49"/>
      <c r="CEU44" s="49"/>
      <c r="CEV44" s="49"/>
      <c r="CEW44" s="49"/>
      <c r="CEX44" s="67">
        <f t="shared" si="1653"/>
        <v>0</v>
      </c>
      <c r="CEY44" s="68">
        <f t="shared" si="1654"/>
        <v>0</v>
      </c>
      <c r="CEZ44" s="48"/>
      <c r="CFA44" s="49"/>
      <c r="CFB44" s="49"/>
      <c r="CFC44" s="49"/>
      <c r="CFD44" s="49"/>
      <c r="CFE44" s="49"/>
      <c r="CFF44" s="67">
        <f t="shared" si="1655"/>
        <v>0</v>
      </c>
      <c r="CFG44" s="68">
        <f t="shared" si="1656"/>
        <v>0</v>
      </c>
      <c r="CFH44" s="48"/>
      <c r="CFI44" s="49"/>
      <c r="CFJ44" s="49"/>
      <c r="CFK44" s="49"/>
      <c r="CFL44" s="49"/>
      <c r="CFM44" s="49"/>
      <c r="CFN44" s="67">
        <f t="shared" si="1657"/>
        <v>0</v>
      </c>
      <c r="CFO44" s="68">
        <f t="shared" si="1658"/>
        <v>0</v>
      </c>
      <c r="CFP44" s="48"/>
      <c r="CFQ44" s="49"/>
      <c r="CFR44" s="49"/>
      <c r="CFS44" s="49"/>
      <c r="CFT44" s="49"/>
      <c r="CFU44" s="49"/>
      <c r="CFV44" s="67">
        <f t="shared" si="1659"/>
        <v>0</v>
      </c>
      <c r="CFW44" s="68">
        <f t="shared" si="1660"/>
        <v>0</v>
      </c>
      <c r="CFX44" s="48"/>
      <c r="CFY44" s="49"/>
      <c r="CFZ44" s="49"/>
      <c r="CGA44" s="49"/>
      <c r="CGB44" s="49"/>
      <c r="CGC44" s="49"/>
      <c r="CGD44" s="67">
        <f t="shared" si="1661"/>
        <v>0</v>
      </c>
      <c r="CGE44" s="68">
        <f t="shared" si="1662"/>
        <v>0</v>
      </c>
      <c r="CGF44" s="48"/>
      <c r="CGG44" s="49"/>
      <c r="CGH44" s="49"/>
      <c r="CGI44" s="49"/>
      <c r="CGJ44" s="49"/>
      <c r="CGK44" s="49"/>
      <c r="CGL44" s="67">
        <f t="shared" si="1663"/>
        <v>0</v>
      </c>
      <c r="CGM44" s="68">
        <f t="shared" si="1664"/>
        <v>0</v>
      </c>
      <c r="CGN44" s="48"/>
      <c r="CGO44" s="49"/>
      <c r="CGP44" s="49"/>
      <c r="CGQ44" s="49"/>
      <c r="CGR44" s="49"/>
      <c r="CGS44" s="49"/>
      <c r="CGT44" s="67">
        <f t="shared" si="1665"/>
        <v>0</v>
      </c>
      <c r="CGU44" s="68">
        <f t="shared" si="1666"/>
        <v>0</v>
      </c>
      <c r="CGV44" s="48"/>
      <c r="CGW44" s="49"/>
      <c r="CGX44" s="49"/>
      <c r="CGY44" s="49"/>
      <c r="CGZ44" s="49"/>
      <c r="CHA44" s="49"/>
      <c r="CHB44" s="67">
        <f t="shared" si="1667"/>
        <v>0</v>
      </c>
      <c r="CHC44" s="68">
        <f t="shared" si="1668"/>
        <v>0</v>
      </c>
      <c r="CHD44" s="48"/>
      <c r="CHE44" s="49"/>
      <c r="CHF44" s="49"/>
      <c r="CHG44" s="49"/>
      <c r="CHH44" s="49"/>
      <c r="CHI44" s="49"/>
      <c r="CHJ44" s="67">
        <f t="shared" si="1669"/>
        <v>0</v>
      </c>
      <c r="CHK44" s="68">
        <f t="shared" si="1670"/>
        <v>0</v>
      </c>
      <c r="CHL44" s="48"/>
      <c r="CHM44" s="49"/>
      <c r="CHN44" s="49"/>
      <c r="CHO44" s="49"/>
      <c r="CHP44" s="49"/>
      <c r="CHQ44" s="49"/>
      <c r="CHR44" s="67">
        <f t="shared" si="1671"/>
        <v>0</v>
      </c>
      <c r="CHS44" s="68">
        <f t="shared" si="1672"/>
        <v>0</v>
      </c>
      <c r="CHT44" s="48"/>
      <c r="CHU44" s="49"/>
      <c r="CHV44" s="49"/>
      <c r="CHW44" s="49"/>
      <c r="CHX44" s="49"/>
      <c r="CHY44" s="49"/>
      <c r="CHZ44" s="67">
        <f t="shared" si="1673"/>
        <v>0</v>
      </c>
      <c r="CIA44" s="68">
        <f t="shared" si="1674"/>
        <v>0</v>
      </c>
      <c r="CIB44" s="48"/>
      <c r="CIC44" s="49"/>
      <c r="CID44" s="49"/>
      <c r="CIE44" s="49"/>
      <c r="CIF44" s="49"/>
      <c r="CIG44" s="49"/>
      <c r="CIH44" s="67">
        <f t="shared" si="1675"/>
        <v>0</v>
      </c>
      <c r="CII44" s="68">
        <f t="shared" si="1676"/>
        <v>0</v>
      </c>
      <c r="CIJ44" s="48"/>
      <c r="CIK44" s="49"/>
      <c r="CIL44" s="49"/>
      <c r="CIM44" s="49"/>
      <c r="CIN44" s="49"/>
      <c r="CIO44" s="49"/>
      <c r="CIP44" s="67">
        <f t="shared" si="1677"/>
        <v>0</v>
      </c>
      <c r="CIQ44" s="68">
        <f t="shared" si="1678"/>
        <v>0</v>
      </c>
      <c r="CIR44" s="48"/>
      <c r="CIS44" s="49"/>
      <c r="CIT44" s="49"/>
      <c r="CIU44" s="49"/>
      <c r="CIV44" s="49"/>
      <c r="CIW44" s="49"/>
      <c r="CIX44" s="67">
        <f t="shared" si="1679"/>
        <v>0</v>
      </c>
      <c r="CIY44" s="68">
        <f t="shared" si="1680"/>
        <v>0</v>
      </c>
      <c r="CIZ44" s="63"/>
      <c r="CJA44" s="64"/>
      <c r="CJB44" s="64"/>
      <c r="CJC44" s="64"/>
      <c r="CJD44" s="64"/>
      <c r="CJE44" s="64"/>
      <c r="CJF44" s="67">
        <f t="shared" si="1681"/>
        <v>0</v>
      </c>
      <c r="CJG44" s="68">
        <f t="shared" si="1682"/>
        <v>0</v>
      </c>
      <c r="CJH44" s="48"/>
      <c r="CJI44" s="49"/>
      <c r="CJJ44" s="49"/>
      <c r="CJK44" s="49"/>
      <c r="CJL44" s="49"/>
      <c r="CJM44" s="49"/>
      <c r="CJN44" s="67">
        <f t="shared" si="1683"/>
        <v>0</v>
      </c>
      <c r="CJO44" s="184">
        <f t="shared" si="1684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85"/>
        <v>82</v>
      </c>
      <c r="CJW44" s="68">
        <f t="shared" si="1686"/>
        <v>13.666666666666666</v>
      </c>
      <c r="CJX44" s="48"/>
      <c r="CJY44" s="49"/>
      <c r="CJZ44" s="49"/>
      <c r="CKA44" s="49"/>
      <c r="CKB44" s="49"/>
      <c r="CKC44" s="49"/>
      <c r="CKD44" s="67">
        <f t="shared" si="2424"/>
        <v>0</v>
      </c>
      <c r="CKE44" s="68">
        <f t="shared" si="1687"/>
        <v>0</v>
      </c>
      <c r="CKF44" s="48"/>
      <c r="CKG44" s="49"/>
      <c r="CKH44" s="49"/>
      <c r="CKI44" s="49"/>
      <c r="CKJ44" s="49"/>
      <c r="CKK44" s="49"/>
      <c r="CKL44" s="67">
        <f t="shared" si="1688"/>
        <v>0</v>
      </c>
      <c r="CKM44" s="68">
        <f t="shared" si="1689"/>
        <v>0</v>
      </c>
      <c r="CKN44" s="48"/>
      <c r="CKO44" s="49"/>
      <c r="CKP44" s="49"/>
      <c r="CKQ44" s="49"/>
      <c r="CKR44" s="49"/>
      <c r="CKS44" s="47"/>
      <c r="CKT44" s="67">
        <f t="shared" si="1690"/>
        <v>0</v>
      </c>
      <c r="CKU44" s="68">
        <f t="shared" si="1691"/>
        <v>0</v>
      </c>
      <c r="CKV44" s="48"/>
      <c r="CKW44" s="49"/>
      <c r="CKX44" s="49"/>
      <c r="CKY44" s="49"/>
      <c r="CKZ44" s="49"/>
      <c r="CLA44" s="49"/>
      <c r="CLB44" s="67">
        <f t="shared" si="1692"/>
        <v>0</v>
      </c>
      <c r="CLC44" s="68">
        <f t="shared" si="1693"/>
        <v>0</v>
      </c>
      <c r="CLD44" s="48"/>
      <c r="CLE44" s="49"/>
      <c r="CLF44" s="49"/>
      <c r="CLG44" s="49"/>
      <c r="CLH44" s="49"/>
      <c r="CLI44" s="49"/>
      <c r="CLJ44" s="67">
        <f t="shared" si="1694"/>
        <v>0</v>
      </c>
      <c r="CLK44" s="68">
        <f t="shared" si="1695"/>
        <v>0</v>
      </c>
      <c r="CLL44" s="48"/>
      <c r="CLM44" s="49"/>
      <c r="CLN44" s="49"/>
      <c r="CLO44" s="49"/>
      <c r="CLP44" s="49"/>
      <c r="CLQ44" s="49"/>
      <c r="CLR44" s="67">
        <f t="shared" si="1696"/>
        <v>0</v>
      </c>
      <c r="CLS44" s="68">
        <f t="shared" si="1697"/>
        <v>0</v>
      </c>
      <c r="CLT44" s="48"/>
      <c r="CLU44" s="49"/>
      <c r="CLV44" s="49"/>
      <c r="CLW44" s="49"/>
      <c r="CLX44" s="49"/>
      <c r="CLY44" s="49"/>
      <c r="CLZ44" s="67">
        <f t="shared" si="1698"/>
        <v>0</v>
      </c>
      <c r="CMA44" s="68">
        <f t="shared" si="1699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700"/>
        <v>246</v>
      </c>
      <c r="CMI44" s="68">
        <f t="shared" si="1701"/>
        <v>41</v>
      </c>
      <c r="CMJ44" s="48"/>
      <c r="CMK44" s="49"/>
      <c r="CML44" s="49"/>
      <c r="CMM44" s="49"/>
      <c r="CMN44" s="49"/>
      <c r="CMO44" s="49"/>
      <c r="CMP44" s="67">
        <f t="shared" si="1702"/>
        <v>0</v>
      </c>
      <c r="CMQ44" s="68">
        <f t="shared" si="1703"/>
        <v>0</v>
      </c>
      <c r="CMR44" s="48"/>
      <c r="CMS44" s="49"/>
      <c r="CMT44" s="49"/>
      <c r="CMU44" s="49"/>
      <c r="CMV44" s="49"/>
      <c r="CMW44" s="49"/>
      <c r="CMX44" s="67">
        <f t="shared" si="1704"/>
        <v>0</v>
      </c>
      <c r="CMY44" s="68">
        <f t="shared" si="1705"/>
        <v>0</v>
      </c>
      <c r="CMZ44" s="48"/>
      <c r="CNA44" s="49"/>
      <c r="CNB44" s="49"/>
      <c r="CNC44" s="49"/>
      <c r="CND44" s="49"/>
      <c r="CNE44" s="49"/>
      <c r="CNF44" s="67">
        <f t="shared" si="1706"/>
        <v>0</v>
      </c>
      <c r="CNG44" s="68">
        <f t="shared" si="1707"/>
        <v>0</v>
      </c>
      <c r="CNH44" s="48"/>
      <c r="CNI44" s="49"/>
      <c r="CNJ44" s="49"/>
      <c r="CNK44" s="49"/>
      <c r="CNL44" s="49"/>
      <c r="CNM44" s="49"/>
      <c r="CNN44" s="67">
        <f t="shared" si="1708"/>
        <v>0</v>
      </c>
      <c r="CNO44" s="68">
        <f t="shared" si="1709"/>
        <v>0</v>
      </c>
      <c r="CNP44" s="48"/>
      <c r="CNQ44" s="49"/>
      <c r="CNR44" s="49"/>
      <c r="CNS44" s="49"/>
      <c r="CNT44" s="49"/>
      <c r="CNU44" s="49"/>
      <c r="CNV44" s="67">
        <f t="shared" si="1710"/>
        <v>0</v>
      </c>
      <c r="CNW44" s="68">
        <f t="shared" si="1711"/>
        <v>0</v>
      </c>
      <c r="CNX44" s="48"/>
      <c r="CNY44" s="49"/>
      <c r="CNZ44" s="49"/>
      <c r="COA44" s="49"/>
      <c r="COB44" s="49"/>
      <c r="COC44" s="49"/>
      <c r="COD44" s="67">
        <f t="shared" si="1712"/>
        <v>0</v>
      </c>
      <c r="COE44" s="68">
        <f t="shared" si="1713"/>
        <v>0</v>
      </c>
      <c r="COF44" s="48"/>
      <c r="COG44" s="49"/>
      <c r="COH44" s="49"/>
      <c r="COI44" s="49"/>
      <c r="COJ44" s="49"/>
      <c r="COK44" s="49"/>
      <c r="COL44" s="67">
        <f t="shared" si="1714"/>
        <v>0</v>
      </c>
      <c r="COM44" s="68">
        <f t="shared" si="1715"/>
        <v>0</v>
      </c>
      <c r="CON44" s="48"/>
      <c r="COO44" s="49"/>
      <c r="COP44" s="49"/>
      <c r="COQ44" s="49"/>
      <c r="COR44" s="49"/>
      <c r="COS44" s="49"/>
      <c r="COT44" s="67">
        <f t="shared" si="1716"/>
        <v>0</v>
      </c>
      <c r="COU44" s="68">
        <f t="shared" si="1717"/>
        <v>0</v>
      </c>
      <c r="COV44" s="48"/>
      <c r="COW44" s="49"/>
      <c r="COX44" s="49"/>
      <c r="COY44" s="49"/>
      <c r="COZ44" s="49"/>
      <c r="CPA44" s="49"/>
      <c r="CPB44" s="67">
        <f t="shared" si="1718"/>
        <v>0</v>
      </c>
      <c r="CPC44" s="68">
        <f t="shared" si="1719"/>
        <v>0</v>
      </c>
      <c r="CPD44" s="48"/>
      <c r="CPE44" s="49"/>
      <c r="CPF44" s="49"/>
      <c r="CPG44" s="49"/>
      <c r="CPH44" s="49"/>
      <c r="CPI44" s="49"/>
      <c r="CPJ44" s="67">
        <f t="shared" si="1720"/>
        <v>0</v>
      </c>
      <c r="CPK44" s="68">
        <f t="shared" si="1721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22"/>
        <v>0</v>
      </c>
      <c r="CPS44" s="68">
        <f t="shared" si="1723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24"/>
        <v>0</v>
      </c>
      <c r="CQA44" s="68">
        <f t="shared" si="1725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26"/>
        <v>171</v>
      </c>
      <c r="CQI44" s="68">
        <f t="shared" si="1727"/>
        <v>28.5</v>
      </c>
      <c r="CQJ44" s="82"/>
      <c r="CQK44" s="83"/>
      <c r="CQL44" s="83"/>
      <c r="CQM44" s="83"/>
      <c r="CQN44" s="83"/>
      <c r="CQO44" s="83"/>
      <c r="CQP44" s="67">
        <f t="shared" si="1728"/>
        <v>0</v>
      </c>
      <c r="CQQ44" s="68">
        <f t="shared" si="1729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30"/>
        <v>130</v>
      </c>
      <c r="CQY44" s="68">
        <f t="shared" si="1731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32"/>
        <v>190</v>
      </c>
      <c r="CRG44" s="68">
        <f t="shared" si="1733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34"/>
        <v>0</v>
      </c>
      <c r="CRO44" s="68">
        <f t="shared" si="1735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36"/>
        <v>0</v>
      </c>
      <c r="CRW44" s="68">
        <f t="shared" si="1737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38"/>
        <v>179</v>
      </c>
      <c r="CSE44" s="68">
        <f t="shared" si="1739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40"/>
        <v>357</v>
      </c>
      <c r="CSM44" s="68">
        <f t="shared" si="1741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42"/>
        <v>0</v>
      </c>
      <c r="CSU44" s="68">
        <f t="shared" si="1743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44"/>
        <v>330</v>
      </c>
      <c r="CTC44" s="68">
        <f t="shared" si="1745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46"/>
        <v>330</v>
      </c>
      <c r="CTK44" s="68">
        <f t="shared" si="1747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48"/>
        <v>474</v>
      </c>
      <c r="CTS44" s="68">
        <f t="shared" si="1749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50"/>
        <v>328</v>
      </c>
      <c r="CUA44" s="68">
        <f t="shared" si="1751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52"/>
        <v>366</v>
      </c>
      <c r="CUI44" s="68">
        <f t="shared" si="1753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54"/>
        <v>330</v>
      </c>
      <c r="CUQ44" s="68">
        <f t="shared" si="1755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56"/>
        <v>1266</v>
      </c>
      <c r="CUY44" s="68">
        <f t="shared" si="1757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58"/>
        <v>0</v>
      </c>
      <c r="CVG44" s="68">
        <f t="shared" si="1759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60"/>
        <v>108</v>
      </c>
      <c r="CVO44" s="68">
        <f t="shared" si="1761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62"/>
        <v>399</v>
      </c>
      <c r="CVW44" s="68">
        <f t="shared" si="1763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64"/>
        <v>0</v>
      </c>
      <c r="CWE44" s="68">
        <f t="shared" si="1765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66"/>
        <v>0</v>
      </c>
      <c r="CWM44" s="68">
        <f t="shared" si="1767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68"/>
        <v>0</v>
      </c>
      <c r="CWU44" s="68">
        <f t="shared" si="1769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70"/>
        <v>151</v>
      </c>
      <c r="CXC44" s="43">
        <f t="shared" si="1771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72"/>
        <v>0</v>
      </c>
      <c r="CXK44" s="43">
        <f t="shared" si="1773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74"/>
        <v>0</v>
      </c>
      <c r="CXS44" s="43">
        <f t="shared" si="1775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76"/>
        <v>0</v>
      </c>
      <c r="CYA44" s="43">
        <f t="shared" si="1777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78"/>
        <v>0</v>
      </c>
      <c r="CYI44" s="43">
        <f t="shared" si="1779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80"/>
        <v>0</v>
      </c>
      <c r="CYQ44" s="43">
        <f t="shared" si="1781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82"/>
        <v>324</v>
      </c>
      <c r="CYY44" s="43">
        <f t="shared" si="1783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84"/>
        <v>0</v>
      </c>
      <c r="CZG44" s="43">
        <f t="shared" si="1785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86"/>
        <v>0</v>
      </c>
      <c r="CZO44" s="43">
        <f t="shared" si="1787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88"/>
        <v>334</v>
      </c>
      <c r="CZW44" s="43">
        <f t="shared" si="1789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90"/>
        <v>0</v>
      </c>
      <c r="DAE44" s="68">
        <f t="shared" si="1791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92"/>
        <v>300</v>
      </c>
      <c r="DAM44" s="68">
        <f t="shared" si="1793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94"/>
        <v>140</v>
      </c>
      <c r="DAU44" s="68">
        <f t="shared" si="1795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96"/>
        <v>0</v>
      </c>
      <c r="DBC44" s="68">
        <f t="shared" si="1797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98"/>
        <v>150</v>
      </c>
      <c r="DBK44" s="68">
        <f t="shared" si="1799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800"/>
        <v>0</v>
      </c>
      <c r="DBS44" s="68">
        <f t="shared" si="1801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802"/>
        <v>150</v>
      </c>
      <c r="DCA44" s="68">
        <f t="shared" si="1803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804"/>
        <v>831</v>
      </c>
      <c r="DCI44" s="68">
        <f t="shared" si="1805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806"/>
        <v>486</v>
      </c>
      <c r="DCQ44" s="68">
        <f t="shared" si="1807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808"/>
        <v>328</v>
      </c>
      <c r="DCY44" s="68">
        <f t="shared" si="1809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810"/>
        <v>363</v>
      </c>
      <c r="DDG44" s="68">
        <f t="shared" si="1811"/>
        <v>60.5</v>
      </c>
      <c r="DDH44" s="48"/>
      <c r="DDI44" s="49"/>
      <c r="DDJ44" s="49"/>
      <c r="DDK44" s="49"/>
      <c r="DDL44" s="49"/>
      <c r="DDM44" s="49"/>
      <c r="DDN44" s="127">
        <f t="shared" si="1812"/>
        <v>0</v>
      </c>
      <c r="DDO44" s="43">
        <f t="shared" si="1813"/>
        <v>0</v>
      </c>
      <c r="DDP44" s="48"/>
      <c r="DDQ44" s="49"/>
      <c r="DDR44" s="49"/>
      <c r="DDS44" s="49"/>
      <c r="DDT44" s="49"/>
      <c r="DDU44" s="49"/>
      <c r="DDV44" s="127">
        <f t="shared" si="1814"/>
        <v>0</v>
      </c>
      <c r="DDW44" s="43">
        <f t="shared" si="1815"/>
        <v>0</v>
      </c>
      <c r="DDX44" s="48"/>
      <c r="DDY44" s="49"/>
      <c r="DDZ44" s="49"/>
      <c r="DEA44" s="49"/>
      <c r="DEB44" s="49"/>
      <c r="DEC44" s="49"/>
      <c r="DED44" s="127">
        <f t="shared" si="1816"/>
        <v>0</v>
      </c>
      <c r="DEE44" s="43">
        <f t="shared" si="1817"/>
        <v>0</v>
      </c>
      <c r="DEF44" s="48"/>
      <c r="DEG44" s="49"/>
      <c r="DEH44" s="49"/>
      <c r="DEI44" s="49"/>
      <c r="DEJ44" s="49"/>
      <c r="DEK44" s="49"/>
      <c r="DEL44" s="127">
        <f t="shared" si="1818"/>
        <v>0</v>
      </c>
      <c r="DEM44" s="43">
        <f t="shared" si="1819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20"/>
        <v>219</v>
      </c>
      <c r="DEU44" s="43">
        <f t="shared" si="1821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22"/>
        <v>111</v>
      </c>
      <c r="DFC44" s="43">
        <f t="shared" si="1823"/>
        <v>18.5</v>
      </c>
      <c r="DFD44" s="48"/>
      <c r="DFE44" s="49"/>
      <c r="DFF44" s="49"/>
      <c r="DFG44" s="49"/>
      <c r="DFH44" s="49"/>
      <c r="DFI44" s="49"/>
      <c r="DFJ44" s="127">
        <f t="shared" si="1824"/>
        <v>0</v>
      </c>
      <c r="DFK44" s="43">
        <f t="shared" si="1825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26"/>
        <v>560</v>
      </c>
      <c r="DFS44" s="68">
        <f t="shared" si="1827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28"/>
        <v>0</v>
      </c>
      <c r="DGA44" s="43">
        <f t="shared" si="1829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30"/>
        <v>0</v>
      </c>
      <c r="DGI44" s="43">
        <f t="shared" si="1831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32"/>
        <v>493</v>
      </c>
      <c r="DGQ44" s="68">
        <f t="shared" si="1833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34"/>
        <v>649</v>
      </c>
      <c r="DGY44" s="68">
        <f t="shared" si="1835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36"/>
        <v>60</v>
      </c>
      <c r="DHG44" s="68">
        <f t="shared" si="1837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38"/>
        <v>348</v>
      </c>
      <c r="DHO44" s="68">
        <f t="shared" si="1839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40"/>
        <v>31</v>
      </c>
      <c r="DHW44" s="68">
        <f t="shared" si="1841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42"/>
        <v>0</v>
      </c>
      <c r="DIE44" s="68">
        <f t="shared" si="1843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44"/>
        <v>749</v>
      </c>
      <c r="DIM44" s="68">
        <f t="shared" si="1845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46"/>
        <v>0</v>
      </c>
      <c r="DIU44" s="68">
        <f t="shared" si="1847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48"/>
        <v>0</v>
      </c>
      <c r="DJC44" s="68">
        <f t="shared" si="1849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50"/>
        <v>675</v>
      </c>
      <c r="DJK44" s="68">
        <f t="shared" si="1851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52"/>
        <v>550</v>
      </c>
      <c r="DJS44" s="68">
        <f t="shared" si="1853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54"/>
        <v>940</v>
      </c>
      <c r="DKA44" s="68">
        <f t="shared" si="1855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56"/>
        <v>0</v>
      </c>
      <c r="DKI44" s="68">
        <f t="shared" si="1857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58"/>
        <v>150</v>
      </c>
      <c r="DKQ44" s="68">
        <f t="shared" si="1859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60"/>
        <v>1200</v>
      </c>
      <c r="DKY44" s="68">
        <f t="shared" si="1861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62"/>
        <v>0</v>
      </c>
      <c r="DLG44" s="68">
        <f t="shared" si="1863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64"/>
        <v>400</v>
      </c>
      <c r="DLO44" s="68">
        <f t="shared" si="1865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66"/>
        <v>0</v>
      </c>
      <c r="DLW44" s="68">
        <f t="shared" si="1867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68"/>
        <v>0</v>
      </c>
      <c r="DME44" s="68">
        <f t="shared" si="1869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70"/>
        <v>22</v>
      </c>
      <c r="DMM44" s="68">
        <f t="shared" si="1871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72"/>
        <v>401</v>
      </c>
      <c r="DMU44" s="68">
        <f t="shared" si="1873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74"/>
        <v>0</v>
      </c>
      <c r="DNC44" s="68">
        <f t="shared" si="1875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76"/>
        <v>0</v>
      </c>
      <c r="DNK44" s="68">
        <f t="shared" si="1877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78"/>
        <v>0</v>
      </c>
      <c r="DNS44" s="68">
        <f t="shared" si="1879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80"/>
        <v>641</v>
      </c>
      <c r="DOA44" s="68">
        <f t="shared" si="1881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82"/>
        <v>360</v>
      </c>
      <c r="DOI44" s="68">
        <f t="shared" si="1883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84"/>
        <v>0</v>
      </c>
      <c r="DOQ44" s="68">
        <f t="shared" si="1885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86"/>
        <v>450</v>
      </c>
      <c r="DOY44" s="68">
        <f t="shared" si="1887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88"/>
        <v>0</v>
      </c>
      <c r="DPG44" s="68">
        <f t="shared" si="1889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90"/>
        <v>0</v>
      </c>
      <c r="DPO44" s="68">
        <f t="shared" si="1891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92"/>
        <v>0</v>
      </c>
      <c r="DPW44" s="492">
        <f t="shared" si="1893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94"/>
        <v>0</v>
      </c>
      <c r="DQE44" s="492">
        <f t="shared" si="1895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6"/>
        <v>0</v>
      </c>
      <c r="DQM44" s="492">
        <f t="shared" si="1897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98"/>
        <v>0</v>
      </c>
      <c r="DQU44" s="68">
        <f t="shared" si="1899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900"/>
        <v>125</v>
      </c>
      <c r="DRC44" s="492">
        <f t="shared" si="1901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902"/>
        <v>221</v>
      </c>
      <c r="DRK44" s="492">
        <f t="shared" si="1903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99"/>
        <v>0</v>
      </c>
      <c r="DRS44" s="68">
        <f t="shared" si="1600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601"/>
        <v>0</v>
      </c>
      <c r="DSA44" s="68">
        <f t="shared" si="1602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603"/>
        <v>0</v>
      </c>
      <c r="DSI44" s="68">
        <f t="shared" si="1604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605"/>
        <v>0</v>
      </c>
      <c r="DSQ44" s="68">
        <f t="shared" si="1606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607"/>
        <v>30</v>
      </c>
      <c r="DSY44" s="68">
        <f t="shared" si="1608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609"/>
        <v>251</v>
      </c>
      <c r="DTG44" s="68">
        <f t="shared" si="1610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11"/>
        <v>0</v>
      </c>
      <c r="DTO44" s="68">
        <f t="shared" si="1612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13"/>
        <v>461</v>
      </c>
      <c r="DTW44" s="68">
        <f t="shared" si="1614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15"/>
        <v>400</v>
      </c>
      <c r="DUE44" s="68">
        <f t="shared" si="1616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17"/>
        <v>610</v>
      </c>
      <c r="DUM44" s="68">
        <f t="shared" si="1618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19"/>
        <v>0</v>
      </c>
      <c r="DUU44" s="68">
        <f t="shared" si="1620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21"/>
        <v>267</v>
      </c>
      <c r="DVC44" s="68">
        <f t="shared" si="1622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23"/>
        <v>668</v>
      </c>
      <c r="DVK44" s="68">
        <f t="shared" si="1624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25"/>
        <v>510</v>
      </c>
      <c r="DVS44" s="68">
        <f t="shared" si="1626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27"/>
        <v>210</v>
      </c>
      <c r="DWA44" s="68">
        <f t="shared" si="1628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29"/>
        <v>303</v>
      </c>
      <c r="DWI44" s="68">
        <f t="shared" si="1630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31"/>
        <v>842</v>
      </c>
      <c r="DWQ44" s="68">
        <f t="shared" si="1632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33"/>
        <v>111</v>
      </c>
      <c r="DWY44" s="68">
        <f t="shared" si="1634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35"/>
        <v>377</v>
      </c>
      <c r="DXG44" s="68">
        <f t="shared" si="1636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37"/>
        <v>1303</v>
      </c>
      <c r="DXO44" s="68">
        <f t="shared" si="1638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8"/>
        <v>360</v>
      </c>
      <c r="DXW44" s="68">
        <f t="shared" si="1329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30"/>
        <v>1352</v>
      </c>
      <c r="DYE44" s="68">
        <f t="shared" si="1331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32"/>
        <v>0</v>
      </c>
      <c r="DYM44" s="68">
        <f t="shared" si="1333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34"/>
        <v>0</v>
      </c>
      <c r="DYU44" s="68">
        <f t="shared" si="1335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36"/>
        <v>544</v>
      </c>
      <c r="DZC44" s="68">
        <f t="shared" si="1337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8"/>
        <v>587</v>
      </c>
      <c r="DZK44" s="68">
        <f t="shared" si="1339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40"/>
        <v>956</v>
      </c>
      <c r="DZS44" s="68">
        <f t="shared" si="1341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42"/>
        <v>237</v>
      </c>
      <c r="EAA44" s="68">
        <f t="shared" si="1343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44"/>
        <v>606</v>
      </c>
      <c r="EAI44" s="68">
        <f t="shared" si="1345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46"/>
        <v>1558</v>
      </c>
      <c r="EAQ44" s="68">
        <f t="shared" si="1347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8"/>
        <v>0</v>
      </c>
      <c r="EAY44" s="68">
        <f t="shared" si="1349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50"/>
        <v>2049</v>
      </c>
      <c r="EBG44" s="68">
        <f t="shared" si="1351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52"/>
        <v>581</v>
      </c>
      <c r="EBO44" s="68">
        <f t="shared" si="1353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54"/>
        <v>672</v>
      </c>
      <c r="EBW44" s="68">
        <f t="shared" si="1355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56"/>
        <v>0</v>
      </c>
      <c r="ECE44" s="68">
        <f t="shared" si="1357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8"/>
        <v>671</v>
      </c>
      <c r="ECM44" s="68">
        <f t="shared" si="1359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60"/>
        <v>0</v>
      </c>
      <c r="ECU44" s="68">
        <f t="shared" si="1361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62"/>
        <v>102</v>
      </c>
      <c r="EDC44" s="68">
        <f t="shared" si="1363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64"/>
        <v>540</v>
      </c>
      <c r="EDK44" s="68">
        <f t="shared" si="1365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66"/>
        <v>947</v>
      </c>
      <c r="EDS44" s="68">
        <f t="shared" si="1367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8"/>
        <v>0</v>
      </c>
      <c r="EEA44" s="68">
        <f t="shared" si="1369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70"/>
        <v>1270</v>
      </c>
      <c r="EEI44" s="68">
        <f t="shared" si="1371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72"/>
        <v>401</v>
      </c>
      <c r="EEQ44" s="68">
        <f t="shared" si="1373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74"/>
        <v>504</v>
      </c>
      <c r="EEY44" s="68">
        <f t="shared" si="1375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76"/>
        <v>1050</v>
      </c>
      <c r="EFG44" s="68">
        <f t="shared" si="1377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8"/>
        <v>1290</v>
      </c>
      <c r="EFO44" s="68">
        <f t="shared" si="1379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80"/>
        <v>494</v>
      </c>
      <c r="EFW44" s="68">
        <f t="shared" si="1381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82"/>
        <v>585</v>
      </c>
      <c r="EGE44" s="68">
        <f t="shared" si="1383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84"/>
        <v>394</v>
      </c>
      <c r="EGM44" s="68">
        <f t="shared" si="1385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86"/>
        <v>769</v>
      </c>
      <c r="EGU44" s="68">
        <f t="shared" si="1387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8"/>
        <v>633</v>
      </c>
      <c r="EHC44" s="68">
        <f t="shared" si="1389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90"/>
        <v>643</v>
      </c>
      <c r="EHK44" s="68">
        <f t="shared" si="1391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92"/>
        <v>825</v>
      </c>
      <c r="EHS44" s="68">
        <f t="shared" si="1393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94"/>
        <v>1043</v>
      </c>
      <c r="EIA44" s="68">
        <f t="shared" si="1395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96"/>
        <v>542</v>
      </c>
      <c r="EII44" s="68">
        <f t="shared" si="1397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8"/>
        <v>1086</v>
      </c>
      <c r="EIQ44" s="68">
        <f t="shared" si="1399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400"/>
        <v>300</v>
      </c>
      <c r="EIY44" s="68">
        <f t="shared" si="1401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402"/>
        <v>656</v>
      </c>
      <c r="EJG44" s="68">
        <f t="shared" si="1403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404"/>
        <v>0</v>
      </c>
      <c r="EJO44" s="68">
        <f t="shared" si="1405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406"/>
        <v>965</v>
      </c>
      <c r="EJW44" s="68">
        <f t="shared" si="1407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8"/>
        <v>599</v>
      </c>
      <c r="EKE44" s="68">
        <f t="shared" si="1409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10"/>
        <v>614</v>
      </c>
      <c r="EKM44" s="68">
        <f t="shared" si="1411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12"/>
        <v>0</v>
      </c>
      <c r="EKU44" s="184">
        <f t="shared" si="1413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14"/>
        <v>650</v>
      </c>
      <c r="ELD44" s="211">
        <f t="shared" si="1415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16"/>
        <v>0</v>
      </c>
      <c r="ELL44" s="211">
        <f t="shared" si="1417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8"/>
        <v>635</v>
      </c>
      <c r="ELT44" s="211">
        <f t="shared" si="1419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20"/>
        <v>224</v>
      </c>
      <c r="EMB44" s="211">
        <f t="shared" si="1421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22"/>
        <v>0</v>
      </c>
      <c r="EMJ44" s="211">
        <f t="shared" si="1423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24"/>
        <v>444</v>
      </c>
      <c r="EMR44" s="211">
        <f t="shared" si="1425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26"/>
        <v>290</v>
      </c>
      <c r="EMZ44" s="211">
        <f t="shared" si="1427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8"/>
        <v>740</v>
      </c>
      <c r="ENH44" s="211">
        <f t="shared" si="1429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30"/>
        <v>0</v>
      </c>
      <c r="ENP44" s="211">
        <f t="shared" si="1431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32"/>
        <v>225</v>
      </c>
      <c r="ENX44" s="211">
        <f t="shared" si="1433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34"/>
        <v>0</v>
      </c>
      <c r="EOF44" s="211">
        <f t="shared" si="1435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36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37"/>
        <v>0</v>
      </c>
      <c r="EOV44" s="211">
        <f t="shared" si="1438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9"/>
        <v>0</v>
      </c>
      <c r="EPD44" s="211">
        <f t="shared" si="1440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41"/>
        <v>0</v>
      </c>
      <c r="EPL44" s="211">
        <f t="shared" si="1442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43"/>
        <v>832</v>
      </c>
      <c r="EPT44" s="211">
        <f t="shared" si="1444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5"/>
        <v>0</v>
      </c>
      <c r="EQB44" s="211">
        <f t="shared" si="1446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47"/>
        <v>0</v>
      </c>
      <c r="EQJ44" s="211">
        <f t="shared" si="1448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9"/>
        <v>0</v>
      </c>
      <c r="EQR44" s="211">
        <f t="shared" si="1450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51"/>
        <v>220</v>
      </c>
      <c r="EQZ44" s="211">
        <f t="shared" si="1452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53"/>
        <v>494</v>
      </c>
      <c r="ERH44" s="211">
        <f t="shared" si="1454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55"/>
        <v>313</v>
      </c>
      <c r="ERP44" s="211">
        <f t="shared" si="1456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57"/>
        <v>611</v>
      </c>
      <c r="ERX44" s="211">
        <f t="shared" si="1458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9"/>
        <v>562</v>
      </c>
      <c r="ESF44" s="211">
        <f t="shared" si="1460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61"/>
        <v>610</v>
      </c>
      <c r="ESN44" s="211">
        <f t="shared" si="1462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63"/>
        <v>0</v>
      </c>
      <c r="ESV44" s="211">
        <f t="shared" si="1464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65"/>
        <v>567</v>
      </c>
      <c r="ETD44" s="211">
        <f t="shared" si="1466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67"/>
        <v>325</v>
      </c>
      <c r="ETL44" s="211">
        <f t="shared" si="1468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9"/>
        <v>0</v>
      </c>
      <c r="ETT44" s="211">
        <f t="shared" si="1470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71"/>
        <v>448</v>
      </c>
      <c r="EUB44" s="211">
        <f t="shared" si="1472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73"/>
        <v>662</v>
      </c>
      <c r="EUJ44" s="211">
        <f t="shared" si="1474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75"/>
        <v>344</v>
      </c>
      <c r="EUR44" s="211">
        <f t="shared" si="1476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77"/>
        <v>559</v>
      </c>
      <c r="EUZ44" s="211">
        <f t="shared" si="1478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9"/>
        <v>0</v>
      </c>
      <c r="EVH44" s="211">
        <f t="shared" si="1480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81"/>
        <v>0</v>
      </c>
      <c r="EVP44" s="211">
        <f t="shared" si="1482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83"/>
        <v>0</v>
      </c>
      <c r="EVX44" s="211">
        <f t="shared" si="1484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85"/>
        <v>330</v>
      </c>
      <c r="EWF44" s="211">
        <f t="shared" si="1486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87"/>
        <v>0</v>
      </c>
      <c r="EWN44" s="211">
        <f t="shared" si="1488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9"/>
        <v>643</v>
      </c>
      <c r="EWV44" s="211">
        <f t="shared" si="1490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91"/>
        <v>0</v>
      </c>
      <c r="EXD44" s="211">
        <f t="shared" si="1492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93"/>
        <v>606</v>
      </c>
      <c r="EXL44" s="211">
        <f t="shared" si="1494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95"/>
        <v>603</v>
      </c>
      <c r="EXT44" s="211">
        <f t="shared" si="1496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97"/>
        <v>338</v>
      </c>
      <c r="EYB44" s="211">
        <f t="shared" si="1498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9"/>
        <v>310</v>
      </c>
      <c r="EYJ44" s="211">
        <f t="shared" si="1500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501"/>
        <v>140</v>
      </c>
      <c r="EYR44" s="211">
        <f t="shared" si="1502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503"/>
        <v>662</v>
      </c>
      <c r="EYZ44" s="873">
        <f t="shared" si="1504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505"/>
        <v>846</v>
      </c>
      <c r="EZH44" s="873">
        <f t="shared" si="1506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>
        <v>0</v>
      </c>
      <c r="EZO44" s="872">
        <f t="shared" si="1507"/>
        <v>910</v>
      </c>
      <c r="EZP44" s="873">
        <f t="shared" si="1508"/>
        <v>151.66666666666666</v>
      </c>
      <c r="EZQ44" s="458">
        <v>0</v>
      </c>
      <c r="EZR44" s="83"/>
      <c r="EZS44" s="83">
        <v>0</v>
      </c>
      <c r="EZT44" s="83">
        <v>0</v>
      </c>
      <c r="EZU44" s="83">
        <v>220</v>
      </c>
      <c r="EZV44" s="83">
        <v>399</v>
      </c>
      <c r="EZW44" s="872">
        <f t="shared" si="1509"/>
        <v>619</v>
      </c>
      <c r="EZX44" s="873">
        <f t="shared" si="1510"/>
        <v>103.16666666666667</v>
      </c>
      <c r="EZY44" s="195">
        <v>0</v>
      </c>
      <c r="EZZ44" s="49">
        <v>0</v>
      </c>
      <c r="FAA44" s="49"/>
      <c r="FAB44" s="49"/>
      <c r="FAC44" s="49"/>
      <c r="FAD44" s="49"/>
      <c r="FAE44" s="872">
        <f t="shared" si="1511"/>
        <v>0</v>
      </c>
      <c r="FAF44" s="873">
        <f t="shared" si="1512"/>
        <v>0</v>
      </c>
    </row>
    <row r="45" spans="1:4088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6516</v>
      </c>
      <c r="G45" s="24"/>
      <c r="H45" s="24"/>
      <c r="I45" s="24"/>
      <c r="J45" s="360">
        <f>SUMIF(SUMPK!$B:$B,$B:$B,SUMPK!$O:$O)</f>
        <v>0</v>
      </c>
      <c r="K45" s="24">
        <f t="shared" si="1226"/>
        <v>0</v>
      </c>
      <c r="L45" s="24">
        <f t="shared" si="1517"/>
        <v>6516</v>
      </c>
      <c r="M45" s="15">
        <f t="shared" si="1639"/>
        <v>6516</v>
      </c>
      <c r="N45" s="15">
        <v>534.66666666666663</v>
      </c>
      <c r="O45" s="276">
        <f t="shared" si="1229"/>
        <v>12.187032418952619</v>
      </c>
      <c r="P45" s="712">
        <v>249.66666666666666</v>
      </c>
      <c r="Q45" s="276">
        <f t="shared" si="1518"/>
        <v>156.59279038718293</v>
      </c>
      <c r="R45" s="277">
        <f t="shared" si="1519"/>
        <v>369.23076923076923</v>
      </c>
      <c r="S45" s="222">
        <v>9600</v>
      </c>
      <c r="T45" s="276">
        <f t="shared" si="1640"/>
        <v>17.647500000000001</v>
      </c>
      <c r="U45" s="278"/>
      <c r="V45" s="276">
        <f t="shared" si="1233"/>
        <v>17.647500000000001</v>
      </c>
      <c r="W45" s="279">
        <f t="shared" si="1234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904"/>
        <v>0</v>
      </c>
      <c r="AK45" s="43">
        <f t="shared" si="1905"/>
        <v>0</v>
      </c>
      <c r="AL45" s="48"/>
      <c r="AM45" s="49"/>
      <c r="AN45" s="49"/>
      <c r="AO45" s="49"/>
      <c r="AP45" s="49"/>
      <c r="AQ45" s="49"/>
      <c r="AR45" s="42">
        <f t="shared" si="1906"/>
        <v>0</v>
      </c>
      <c r="AS45" s="43">
        <f t="shared" si="1907"/>
        <v>0</v>
      </c>
      <c r="AT45" s="48"/>
      <c r="AU45" s="49"/>
      <c r="AV45" s="49"/>
      <c r="AW45" s="49"/>
      <c r="AX45" s="49"/>
      <c r="AY45" s="49"/>
      <c r="AZ45" s="42">
        <f t="shared" si="1908"/>
        <v>0</v>
      </c>
      <c r="BA45" s="43">
        <f t="shared" si="1909"/>
        <v>0</v>
      </c>
      <c r="BB45" s="48"/>
      <c r="BC45" s="49"/>
      <c r="BD45" s="49"/>
      <c r="BE45" s="49"/>
      <c r="BF45" s="49"/>
      <c r="BG45" s="49"/>
      <c r="BH45" s="42">
        <f t="shared" si="1910"/>
        <v>0</v>
      </c>
      <c r="BI45" s="43">
        <f t="shared" si="1911"/>
        <v>0</v>
      </c>
      <c r="BJ45" s="48"/>
      <c r="BK45" s="49"/>
      <c r="BL45" s="49"/>
      <c r="BM45" s="49"/>
      <c r="BN45" s="49"/>
      <c r="BO45" s="49"/>
      <c r="BP45" s="42">
        <f t="shared" si="1912"/>
        <v>0</v>
      </c>
      <c r="BQ45" s="43">
        <f t="shared" si="1913"/>
        <v>0</v>
      </c>
      <c r="BR45" s="48"/>
      <c r="BS45" s="49"/>
      <c r="BT45" s="49"/>
      <c r="BU45" s="49"/>
      <c r="BV45" s="49"/>
      <c r="BW45" s="49"/>
      <c r="BX45" s="42">
        <f t="shared" si="1914"/>
        <v>0</v>
      </c>
      <c r="BY45" s="43">
        <f t="shared" si="1915"/>
        <v>0</v>
      </c>
      <c r="BZ45" s="48"/>
      <c r="CA45" s="49"/>
      <c r="CB45" s="49">
        <v>407</v>
      </c>
      <c r="CC45" s="49"/>
      <c r="CD45" s="49"/>
      <c r="CE45" s="49"/>
      <c r="CF45" s="42">
        <f t="shared" si="1916"/>
        <v>407</v>
      </c>
      <c r="CG45" s="43">
        <f t="shared" si="1917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18"/>
        <v>404</v>
      </c>
      <c r="CO45" s="43">
        <f t="shared" si="1919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20"/>
        <v>404</v>
      </c>
      <c r="CW45" s="43">
        <f t="shared" si="1921"/>
        <v>67.333333333333329</v>
      </c>
      <c r="CX45" s="48"/>
      <c r="CY45" s="49"/>
      <c r="CZ45" s="49"/>
      <c r="DA45" s="49"/>
      <c r="DB45" s="49"/>
      <c r="DC45" s="49"/>
      <c r="DD45" s="42">
        <f t="shared" si="1922"/>
        <v>0</v>
      </c>
      <c r="DE45" s="43">
        <f t="shared" si="1923"/>
        <v>0</v>
      </c>
      <c r="DF45" s="48"/>
      <c r="DG45" s="49"/>
      <c r="DH45" s="49"/>
      <c r="DI45" s="49">
        <v>200</v>
      </c>
      <c r="DJ45" s="49"/>
      <c r="DK45" s="49"/>
      <c r="DL45" s="42">
        <f t="shared" si="1924"/>
        <v>200</v>
      </c>
      <c r="DM45" s="43">
        <f t="shared" si="1925"/>
        <v>33.333333333333336</v>
      </c>
      <c r="DN45" s="48"/>
      <c r="DO45" s="49"/>
      <c r="DP45" s="49"/>
      <c r="DQ45" s="49"/>
      <c r="DR45" s="49"/>
      <c r="DS45" s="49"/>
      <c r="DT45" s="42">
        <f t="shared" si="1926"/>
        <v>0</v>
      </c>
      <c r="DU45" s="43">
        <f t="shared" si="1927"/>
        <v>0</v>
      </c>
      <c r="DV45" s="48"/>
      <c r="DW45" s="49"/>
      <c r="DX45" s="49"/>
      <c r="DY45" s="49"/>
      <c r="DZ45" s="49">
        <v>398</v>
      </c>
      <c r="EA45" s="49"/>
      <c r="EB45" s="42">
        <f t="shared" si="1928"/>
        <v>398</v>
      </c>
      <c r="EC45" s="43">
        <f t="shared" si="1929"/>
        <v>66.333333333333329</v>
      </c>
      <c r="ED45" s="48"/>
      <c r="EE45" s="49"/>
      <c r="EF45" s="49"/>
      <c r="EG45" s="49"/>
      <c r="EH45" s="49"/>
      <c r="EI45" s="49"/>
      <c r="EJ45" s="42">
        <f t="shared" si="1930"/>
        <v>0</v>
      </c>
      <c r="EK45" s="43">
        <f t="shared" si="1931"/>
        <v>0</v>
      </c>
      <c r="EL45" s="48"/>
      <c r="EM45" s="49"/>
      <c r="EN45" s="49"/>
      <c r="EO45" s="49"/>
      <c r="EP45" s="49"/>
      <c r="EQ45" s="49"/>
      <c r="ER45" s="42">
        <f t="shared" si="1932"/>
        <v>0</v>
      </c>
      <c r="ES45" s="43">
        <f t="shared" si="1933"/>
        <v>0</v>
      </c>
      <c r="ET45" s="48">
        <v>428</v>
      </c>
      <c r="EU45" s="49"/>
      <c r="EV45" s="49"/>
      <c r="EW45" s="49"/>
      <c r="EX45" s="49"/>
      <c r="EY45" s="49"/>
      <c r="EZ45" s="42">
        <f t="shared" si="1934"/>
        <v>428</v>
      </c>
      <c r="FA45" s="43">
        <f t="shared" si="1935"/>
        <v>71.333333333333329</v>
      </c>
      <c r="FB45" s="48"/>
      <c r="FC45" s="49"/>
      <c r="FD45" s="49"/>
      <c r="FE45" s="49"/>
      <c r="FF45" s="49"/>
      <c r="FG45" s="49"/>
      <c r="FH45" s="42">
        <f t="shared" si="1936"/>
        <v>0</v>
      </c>
      <c r="FI45" s="43">
        <f t="shared" si="1937"/>
        <v>0</v>
      </c>
      <c r="FJ45" s="48">
        <v>398</v>
      </c>
      <c r="FK45" s="49"/>
      <c r="FL45" s="49"/>
      <c r="FM45" s="49"/>
      <c r="FN45" s="49"/>
      <c r="FO45" s="49"/>
      <c r="FP45" s="42">
        <f t="shared" si="1938"/>
        <v>398</v>
      </c>
      <c r="FQ45" s="43">
        <f t="shared" si="1939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40"/>
        <v>400</v>
      </c>
      <c r="FY45" s="43">
        <f t="shared" si="1941"/>
        <v>66.666666666666671</v>
      </c>
      <c r="FZ45" s="48"/>
      <c r="GA45" s="49"/>
      <c r="GB45" s="49"/>
      <c r="GC45" s="49"/>
      <c r="GD45" s="49"/>
      <c r="GE45" s="49"/>
      <c r="GF45" s="42">
        <f t="shared" si="1942"/>
        <v>0</v>
      </c>
      <c r="GG45" s="43">
        <f t="shared" si="1943"/>
        <v>0</v>
      </c>
      <c r="GH45" s="48"/>
      <c r="GI45" s="49"/>
      <c r="GJ45" s="49"/>
      <c r="GK45" s="49"/>
      <c r="GL45" s="49"/>
      <c r="GM45" s="49"/>
      <c r="GN45" s="42">
        <f t="shared" si="1944"/>
        <v>0</v>
      </c>
      <c r="GO45" s="43">
        <f t="shared" si="1945"/>
        <v>0</v>
      </c>
      <c r="GP45" s="48"/>
      <c r="GQ45" s="49"/>
      <c r="GR45" s="49">
        <v>399</v>
      </c>
      <c r="GS45" s="49"/>
      <c r="GT45" s="49"/>
      <c r="GU45" s="49"/>
      <c r="GV45" s="42">
        <f t="shared" si="1946"/>
        <v>399</v>
      </c>
      <c r="GW45" s="43">
        <f t="shared" si="1947"/>
        <v>66.5</v>
      </c>
      <c r="GX45" s="48"/>
      <c r="GY45" s="49"/>
      <c r="GZ45" s="49"/>
      <c r="HA45" s="49"/>
      <c r="HB45" s="49"/>
      <c r="HC45" s="49"/>
      <c r="HD45" s="42">
        <f t="shared" si="1948"/>
        <v>0</v>
      </c>
      <c r="HE45" s="43">
        <f t="shared" si="1949"/>
        <v>0</v>
      </c>
      <c r="HF45" s="48"/>
      <c r="HG45" s="49"/>
      <c r="HH45" s="49"/>
      <c r="HI45" s="49"/>
      <c r="HJ45" s="49"/>
      <c r="HK45" s="49"/>
      <c r="HL45" s="42">
        <f t="shared" si="1950"/>
        <v>0</v>
      </c>
      <c r="HM45" s="43">
        <f t="shared" si="1951"/>
        <v>0</v>
      </c>
      <c r="HN45" s="82"/>
      <c r="HO45" s="83"/>
      <c r="HP45" s="83"/>
      <c r="HQ45" s="83"/>
      <c r="HR45" s="83"/>
      <c r="HS45" s="83"/>
      <c r="HT45" s="42">
        <f t="shared" si="1952"/>
        <v>0</v>
      </c>
      <c r="HU45" s="43">
        <f t="shared" si="1953"/>
        <v>0</v>
      </c>
      <c r="HV45" s="48">
        <v>409</v>
      </c>
      <c r="HW45" s="49"/>
      <c r="HX45" s="49"/>
      <c r="HY45" s="49"/>
      <c r="HZ45" s="49"/>
      <c r="IA45" s="49"/>
      <c r="IB45" s="42">
        <f t="shared" si="1954"/>
        <v>409</v>
      </c>
      <c r="IC45" s="43">
        <f t="shared" si="1955"/>
        <v>68.166666666666671</v>
      </c>
      <c r="ID45" s="48"/>
      <c r="IE45" s="49"/>
      <c r="IF45" s="49"/>
      <c r="IG45" s="49"/>
      <c r="IH45" s="49"/>
      <c r="II45" s="49"/>
      <c r="IJ45" s="42">
        <f t="shared" si="1956"/>
        <v>0</v>
      </c>
      <c r="IK45" s="43">
        <f t="shared" si="1957"/>
        <v>0</v>
      </c>
      <c r="IL45" s="48">
        <v>400</v>
      </c>
      <c r="IM45" s="49"/>
      <c r="IN45" s="49"/>
      <c r="IO45" s="49"/>
      <c r="IP45" s="49"/>
      <c r="IQ45" s="49"/>
      <c r="IR45" s="67">
        <f t="shared" si="1958"/>
        <v>400</v>
      </c>
      <c r="IS45" s="68">
        <f t="shared" si="1959"/>
        <v>66.666666666666671</v>
      </c>
      <c r="IT45" s="48"/>
      <c r="IU45" s="49"/>
      <c r="IV45" s="49"/>
      <c r="IW45" s="49"/>
      <c r="IX45" s="49"/>
      <c r="IY45" s="49"/>
      <c r="IZ45" s="67">
        <f t="shared" si="1960"/>
        <v>0</v>
      </c>
      <c r="JA45" s="68">
        <f t="shared" si="1961"/>
        <v>0</v>
      </c>
      <c r="JB45" s="48"/>
      <c r="JC45" s="49"/>
      <c r="JD45" s="49"/>
      <c r="JE45" s="49"/>
      <c r="JF45" s="49"/>
      <c r="JG45" s="49"/>
      <c r="JH45" s="67">
        <f t="shared" si="1962"/>
        <v>0</v>
      </c>
      <c r="JI45" s="68">
        <f t="shared" si="1963"/>
        <v>0</v>
      </c>
      <c r="JJ45" s="48"/>
      <c r="JK45" s="49"/>
      <c r="JL45" s="49"/>
      <c r="JM45" s="49"/>
      <c r="JN45" s="49"/>
      <c r="JO45" s="49"/>
      <c r="JP45" s="42">
        <f t="shared" si="1964"/>
        <v>0</v>
      </c>
      <c r="JQ45" s="43">
        <f t="shared" si="1965"/>
        <v>0</v>
      </c>
      <c r="JR45" s="48"/>
      <c r="JS45" s="49"/>
      <c r="JT45" s="49"/>
      <c r="JU45" s="49"/>
      <c r="JV45" s="49"/>
      <c r="JW45" s="49"/>
      <c r="JX45" s="42">
        <f t="shared" si="1966"/>
        <v>0</v>
      </c>
      <c r="JY45" s="43">
        <f t="shared" si="1967"/>
        <v>0</v>
      </c>
      <c r="JZ45" s="48"/>
      <c r="KA45" s="49"/>
      <c r="KB45" s="49"/>
      <c r="KC45" s="49"/>
      <c r="KD45" s="49"/>
      <c r="KE45" s="49"/>
      <c r="KF45" s="42">
        <f t="shared" si="1968"/>
        <v>0</v>
      </c>
      <c r="KG45" s="43">
        <f t="shared" si="1969"/>
        <v>0</v>
      </c>
      <c r="KH45" s="48"/>
      <c r="KI45" s="49"/>
      <c r="KJ45" s="49"/>
      <c r="KK45" s="49"/>
      <c r="KL45" s="49"/>
      <c r="KM45" s="49"/>
      <c r="KN45" s="67">
        <f t="shared" si="1970"/>
        <v>0</v>
      </c>
      <c r="KO45" s="68">
        <f t="shared" si="1971"/>
        <v>0</v>
      </c>
      <c r="KP45" s="48"/>
      <c r="KQ45" s="49"/>
      <c r="KR45" s="49"/>
      <c r="KS45" s="49"/>
      <c r="KT45" s="49"/>
      <c r="KU45" s="49">
        <v>226</v>
      </c>
      <c r="KV45" s="67">
        <f t="shared" si="1972"/>
        <v>226</v>
      </c>
      <c r="KW45" s="68">
        <f t="shared" si="1973"/>
        <v>37.666666666666664</v>
      </c>
      <c r="KX45" s="48"/>
      <c r="KY45" s="49"/>
      <c r="KZ45" s="49"/>
      <c r="LA45" s="49"/>
      <c r="LB45" s="49"/>
      <c r="LC45" s="49"/>
      <c r="LD45" s="67">
        <f t="shared" si="1974"/>
        <v>0</v>
      </c>
      <c r="LE45" s="68">
        <f t="shared" si="1975"/>
        <v>0</v>
      </c>
      <c r="LF45" s="48"/>
      <c r="LG45" s="49"/>
      <c r="LH45" s="49"/>
      <c r="LI45" s="49"/>
      <c r="LJ45" s="49"/>
      <c r="LK45" s="49"/>
      <c r="LL45" s="67">
        <f t="shared" si="1976"/>
        <v>0</v>
      </c>
      <c r="LM45" s="68">
        <f t="shared" si="1977"/>
        <v>0</v>
      </c>
      <c r="LN45" s="48"/>
      <c r="LO45" s="49"/>
      <c r="LP45" s="49"/>
      <c r="LQ45" s="49"/>
      <c r="LR45" s="49"/>
      <c r="LS45" s="49"/>
      <c r="LT45" s="67">
        <f t="shared" si="1978"/>
        <v>0</v>
      </c>
      <c r="LU45" s="68">
        <f t="shared" si="1979"/>
        <v>0</v>
      </c>
      <c r="LV45" s="48"/>
      <c r="LW45" s="49"/>
      <c r="LX45" s="49"/>
      <c r="LY45" s="49"/>
      <c r="LZ45" s="49"/>
      <c r="MA45" s="49"/>
      <c r="MB45" s="67">
        <f t="shared" si="1980"/>
        <v>0</v>
      </c>
      <c r="MC45" s="68">
        <f t="shared" si="1981"/>
        <v>0</v>
      </c>
      <c r="MD45" s="48"/>
      <c r="ME45" s="49"/>
      <c r="MF45" s="49"/>
      <c r="MG45" s="49"/>
      <c r="MH45" s="49"/>
      <c r="MI45" s="49"/>
      <c r="MJ45" s="67">
        <f t="shared" si="1982"/>
        <v>0</v>
      </c>
      <c r="MK45" s="68">
        <f t="shared" si="1983"/>
        <v>0</v>
      </c>
      <c r="ML45" s="48"/>
      <c r="MM45" s="49"/>
      <c r="MN45" s="49"/>
      <c r="MO45" s="49"/>
      <c r="MP45" s="49"/>
      <c r="MQ45" s="49"/>
      <c r="MR45" s="67">
        <f t="shared" si="1984"/>
        <v>0</v>
      </c>
      <c r="MS45" s="68">
        <f t="shared" si="1985"/>
        <v>0</v>
      </c>
      <c r="MT45" s="48"/>
      <c r="MU45" s="49"/>
      <c r="MV45" s="49"/>
      <c r="MW45" s="49"/>
      <c r="MX45" s="49"/>
      <c r="MY45" s="49"/>
      <c r="MZ45" s="67">
        <f t="shared" si="1986"/>
        <v>0</v>
      </c>
      <c r="NA45" s="68">
        <f t="shared" si="1987"/>
        <v>0</v>
      </c>
      <c r="NB45" s="48"/>
      <c r="NC45" s="49"/>
      <c r="ND45" s="49"/>
      <c r="NE45" s="49"/>
      <c r="NF45" s="49"/>
      <c r="NG45" s="49"/>
      <c r="NH45" s="67">
        <f t="shared" si="1988"/>
        <v>0</v>
      </c>
      <c r="NI45" s="68">
        <f t="shared" si="1989"/>
        <v>0</v>
      </c>
      <c r="NJ45" s="48">
        <v>200</v>
      </c>
      <c r="NK45" s="49"/>
      <c r="NL45" s="49"/>
      <c r="NM45" s="49"/>
      <c r="NN45" s="49"/>
      <c r="NO45" s="49"/>
      <c r="NP45" s="67">
        <f t="shared" si="1990"/>
        <v>200</v>
      </c>
      <c r="NQ45" s="68">
        <f t="shared" si="1991"/>
        <v>33.333333333333336</v>
      </c>
      <c r="NR45" s="48"/>
      <c r="NS45" s="49"/>
      <c r="NT45" s="49"/>
      <c r="NU45" s="49"/>
      <c r="NV45" s="49"/>
      <c r="NW45" s="49"/>
      <c r="NX45" s="67">
        <f t="shared" si="1992"/>
        <v>0</v>
      </c>
      <c r="NY45" s="68">
        <f t="shared" si="1993"/>
        <v>0</v>
      </c>
      <c r="NZ45" s="48"/>
      <c r="OA45" s="49"/>
      <c r="OB45" s="49"/>
      <c r="OC45" s="49"/>
      <c r="OD45" s="49"/>
      <c r="OE45" s="49"/>
      <c r="OF45" s="67">
        <f t="shared" si="1994"/>
        <v>0</v>
      </c>
      <c r="OG45" s="68">
        <f t="shared" si="1995"/>
        <v>0</v>
      </c>
      <c r="OH45" s="48"/>
      <c r="OI45" s="49"/>
      <c r="OJ45" s="49"/>
      <c r="OK45" s="49"/>
      <c r="OL45" s="49"/>
      <c r="OM45" s="49"/>
      <c r="ON45" s="67">
        <f t="shared" si="1996"/>
        <v>0</v>
      </c>
      <c r="OO45" s="68">
        <f t="shared" si="1997"/>
        <v>0</v>
      </c>
      <c r="OP45" s="48">
        <v>200</v>
      </c>
      <c r="OQ45" s="49"/>
      <c r="OR45" s="49"/>
      <c r="OS45" s="49"/>
      <c r="OT45" s="49"/>
      <c r="OU45" s="49"/>
      <c r="OV45" s="67">
        <f t="shared" si="1998"/>
        <v>200</v>
      </c>
      <c r="OW45" s="68">
        <f t="shared" si="1999"/>
        <v>33.333333333333336</v>
      </c>
      <c r="OX45" s="48"/>
      <c r="OY45" s="49"/>
      <c r="OZ45" s="49"/>
      <c r="PA45" s="49"/>
      <c r="PB45" s="49"/>
      <c r="PC45" s="49"/>
      <c r="PD45" s="67">
        <f t="shared" si="2000"/>
        <v>0</v>
      </c>
      <c r="PE45" s="68">
        <f t="shared" si="2001"/>
        <v>0</v>
      </c>
      <c r="PF45" s="48"/>
      <c r="PG45" s="49"/>
      <c r="PH45" s="49"/>
      <c r="PI45" s="49"/>
      <c r="PJ45" s="49"/>
      <c r="PK45" s="49"/>
      <c r="PL45" s="67">
        <f t="shared" si="2002"/>
        <v>0</v>
      </c>
      <c r="PM45" s="68">
        <f t="shared" si="2003"/>
        <v>0</v>
      </c>
      <c r="PN45" s="48"/>
      <c r="PO45" s="49"/>
      <c r="PP45" s="49"/>
      <c r="PQ45" s="49"/>
      <c r="PR45" s="49"/>
      <c r="PS45" s="49"/>
      <c r="PT45" s="67">
        <f t="shared" si="2004"/>
        <v>0</v>
      </c>
      <c r="PU45" s="68">
        <f t="shared" si="2005"/>
        <v>0</v>
      </c>
      <c r="PV45" s="106"/>
      <c r="PW45" s="107"/>
      <c r="PX45" s="107"/>
      <c r="PY45" s="107"/>
      <c r="PZ45" s="107"/>
      <c r="QA45" s="107"/>
      <c r="QB45" s="104">
        <f t="shared" si="2006"/>
        <v>0</v>
      </c>
      <c r="QC45" s="105">
        <f t="shared" si="2007"/>
        <v>0</v>
      </c>
      <c r="QD45" s="106"/>
      <c r="QE45" s="107"/>
      <c r="QF45" s="107"/>
      <c r="QG45" s="107"/>
      <c r="QH45" s="107"/>
      <c r="QI45" s="107"/>
      <c r="QJ45" s="104">
        <f t="shared" si="2008"/>
        <v>0</v>
      </c>
      <c r="QK45" s="105">
        <f t="shared" si="2009"/>
        <v>0</v>
      </c>
      <c r="QL45" s="106"/>
      <c r="QM45" s="107"/>
      <c r="QN45" s="107"/>
      <c r="QO45" s="107"/>
      <c r="QP45" s="107"/>
      <c r="QQ45" s="107"/>
      <c r="QR45" s="104">
        <f t="shared" si="2010"/>
        <v>0</v>
      </c>
      <c r="QS45" s="105">
        <f t="shared" si="2011"/>
        <v>0</v>
      </c>
      <c r="QT45" s="106"/>
      <c r="QU45" s="107"/>
      <c r="QV45" s="107"/>
      <c r="QW45" s="107"/>
      <c r="QX45" s="107"/>
      <c r="QY45" s="107"/>
      <c r="QZ45" s="104">
        <f t="shared" si="2012"/>
        <v>0</v>
      </c>
      <c r="RA45" s="105">
        <f t="shared" si="2013"/>
        <v>0</v>
      </c>
      <c r="RB45" s="106"/>
      <c r="RC45" s="107"/>
      <c r="RD45" s="107"/>
      <c r="RE45" s="107"/>
      <c r="RF45" s="107"/>
      <c r="RG45" s="107"/>
      <c r="RH45" s="104">
        <f t="shared" si="2014"/>
        <v>0</v>
      </c>
      <c r="RI45" s="105">
        <f t="shared" si="2015"/>
        <v>0</v>
      </c>
      <c r="RJ45" s="106"/>
      <c r="RK45" s="107"/>
      <c r="RL45" s="107"/>
      <c r="RM45" s="107"/>
      <c r="RN45" s="107"/>
      <c r="RO45" s="107"/>
      <c r="RP45" s="104">
        <f t="shared" si="2016"/>
        <v>0</v>
      </c>
      <c r="RQ45" s="105">
        <f t="shared" si="2017"/>
        <v>0</v>
      </c>
      <c r="RR45" s="106"/>
      <c r="RS45" s="107"/>
      <c r="RT45" s="107"/>
      <c r="RU45" s="107"/>
      <c r="RV45" s="107"/>
      <c r="RW45" s="107"/>
      <c r="RX45" s="104">
        <f t="shared" si="2018"/>
        <v>0</v>
      </c>
      <c r="RY45" s="105">
        <f t="shared" si="2019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20"/>
        <v>237</v>
      </c>
      <c r="SG45" s="105">
        <f t="shared" si="2021"/>
        <v>39.5</v>
      </c>
      <c r="SH45" s="106"/>
      <c r="SI45" s="107"/>
      <c r="SJ45" s="107"/>
      <c r="SK45" s="107"/>
      <c r="SL45" s="107"/>
      <c r="SM45" s="107"/>
      <c r="SN45" s="104">
        <f t="shared" si="2022"/>
        <v>0</v>
      </c>
      <c r="SO45" s="105">
        <f t="shared" si="2023"/>
        <v>0</v>
      </c>
      <c r="SP45" s="106"/>
      <c r="SQ45" s="107"/>
      <c r="SR45" s="107"/>
      <c r="SS45" s="107"/>
      <c r="ST45" s="107"/>
      <c r="SU45" s="107"/>
      <c r="SV45" s="104">
        <f t="shared" si="2024"/>
        <v>0</v>
      </c>
      <c r="SW45" s="105">
        <f t="shared" si="2025"/>
        <v>0</v>
      </c>
      <c r="SX45" s="106"/>
      <c r="SY45" s="107"/>
      <c r="SZ45" s="107"/>
      <c r="TA45" s="107"/>
      <c r="TB45" s="107"/>
      <c r="TC45" s="107"/>
      <c r="TD45" s="104">
        <f t="shared" si="2026"/>
        <v>0</v>
      </c>
      <c r="TE45" s="105">
        <f t="shared" si="2027"/>
        <v>0</v>
      </c>
      <c r="TF45" s="106"/>
      <c r="TG45" s="107"/>
      <c r="TH45" s="107"/>
      <c r="TI45" s="107"/>
      <c r="TJ45" s="107"/>
      <c r="TK45" s="107"/>
      <c r="TL45" s="104">
        <f t="shared" si="2028"/>
        <v>0</v>
      </c>
      <c r="TM45" s="105">
        <f t="shared" si="2029"/>
        <v>0</v>
      </c>
      <c r="TN45" s="130"/>
      <c r="TO45" s="107"/>
      <c r="TP45" s="107"/>
      <c r="TQ45" s="107"/>
      <c r="TR45" s="107"/>
      <c r="TS45" s="107"/>
      <c r="TT45" s="104">
        <f t="shared" si="2030"/>
        <v>0</v>
      </c>
      <c r="TU45" s="105">
        <f t="shared" si="2031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32"/>
        <v>201</v>
      </c>
      <c r="UC45" s="105">
        <f t="shared" si="2033"/>
        <v>33.5</v>
      </c>
      <c r="UD45" s="106"/>
      <c r="UE45" s="107"/>
      <c r="UF45" s="107"/>
      <c r="UG45" s="107"/>
      <c r="UH45" s="107"/>
      <c r="UI45" s="107"/>
      <c r="UJ45" s="104">
        <f t="shared" si="2034"/>
        <v>0</v>
      </c>
      <c r="UK45" s="105">
        <f t="shared" si="2035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91"/>
        <v>400</v>
      </c>
      <c r="UT45" s="105">
        <f t="shared" si="2036"/>
        <v>66.666666666666671</v>
      </c>
      <c r="UU45" s="106"/>
      <c r="UV45" s="107"/>
      <c r="UW45" s="107"/>
      <c r="UX45" s="107"/>
      <c r="UY45" s="107"/>
      <c r="UZ45" s="107"/>
      <c r="VA45" s="104">
        <f t="shared" si="2037"/>
        <v>0</v>
      </c>
      <c r="VB45" s="105">
        <f t="shared" si="2038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39"/>
        <v>439</v>
      </c>
      <c r="VJ45" s="105">
        <f t="shared" si="2040"/>
        <v>73.166666666666671</v>
      </c>
      <c r="VK45" s="48"/>
      <c r="VL45" s="49"/>
      <c r="VM45" s="49"/>
      <c r="VN45" s="49"/>
      <c r="VO45" s="49"/>
      <c r="VP45" s="49"/>
      <c r="VQ45" s="67">
        <f t="shared" si="2041"/>
        <v>0</v>
      </c>
      <c r="VR45" s="68">
        <f t="shared" si="2042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43"/>
        <v>204</v>
      </c>
      <c r="VZ45" s="105">
        <f t="shared" si="2044"/>
        <v>34</v>
      </c>
      <c r="WA45" s="63"/>
      <c r="WB45" s="64"/>
      <c r="WC45" s="64"/>
      <c r="WD45" s="64"/>
      <c r="WE45" s="64"/>
      <c r="WF45" s="64"/>
      <c r="WG45" s="67">
        <f t="shared" si="2045"/>
        <v>0</v>
      </c>
      <c r="WH45" s="68">
        <f t="shared" si="2046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47"/>
        <v>399</v>
      </c>
      <c r="WP45" s="105">
        <f t="shared" si="2048"/>
        <v>66.5</v>
      </c>
      <c r="WQ45" s="48"/>
      <c r="WR45" s="49"/>
      <c r="WS45" s="49"/>
      <c r="WT45" s="49"/>
      <c r="WU45" s="49"/>
      <c r="WV45" s="49"/>
      <c r="WW45" s="49"/>
      <c r="WX45" s="67">
        <f t="shared" si="2049"/>
        <v>0</v>
      </c>
      <c r="WY45" s="68">
        <f t="shared" si="2050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51"/>
        <v>200</v>
      </c>
      <c r="XH45" s="68">
        <f t="shared" si="2052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53"/>
        <v>200</v>
      </c>
      <c r="XQ45" s="68">
        <f t="shared" si="2054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55"/>
        <v>200</v>
      </c>
      <c r="XZ45" s="68">
        <f t="shared" si="2056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57"/>
        <v>446</v>
      </c>
      <c r="YI45" s="68">
        <f t="shared" si="2058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59"/>
        <v>200</v>
      </c>
      <c r="YR45" s="68">
        <f t="shared" si="2060"/>
        <v>33.333333333333336</v>
      </c>
      <c r="YS45" s="48"/>
      <c r="YT45" s="49"/>
      <c r="YU45" s="49"/>
      <c r="YV45" s="49"/>
      <c r="YW45" s="49"/>
      <c r="YX45" s="49"/>
      <c r="YY45" s="67">
        <f t="shared" si="2061"/>
        <v>0</v>
      </c>
      <c r="YZ45" s="68">
        <f t="shared" si="2062"/>
        <v>0</v>
      </c>
      <c r="ZA45" s="48"/>
      <c r="ZB45" s="49"/>
      <c r="ZC45" s="49"/>
      <c r="ZD45" s="49">
        <v>409</v>
      </c>
      <c r="ZE45" s="49"/>
      <c r="ZF45" s="49"/>
      <c r="ZG45" s="67">
        <f t="shared" si="2063"/>
        <v>409</v>
      </c>
      <c r="ZH45" s="68">
        <f t="shared" si="2064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65"/>
        <v>243</v>
      </c>
      <c r="ZP45" s="68">
        <f t="shared" si="2066"/>
        <v>40.5</v>
      </c>
      <c r="ZQ45" s="48"/>
      <c r="ZR45" s="49"/>
      <c r="ZS45" s="49"/>
      <c r="ZT45" s="49"/>
      <c r="ZU45" s="49"/>
      <c r="ZV45" s="49"/>
      <c r="ZW45" s="49"/>
      <c r="ZX45" s="67">
        <f t="shared" si="2067"/>
        <v>0</v>
      </c>
      <c r="ZY45" s="70">
        <f t="shared" si="2068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69"/>
        <v>0</v>
      </c>
      <c r="AAH45" s="68">
        <f t="shared" si="2070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71"/>
        <v>434</v>
      </c>
      <c r="AAP45" s="68">
        <f t="shared" si="2072"/>
        <v>72.333333333333329</v>
      </c>
      <c r="AAQ45" s="48"/>
      <c r="AAR45" s="49"/>
      <c r="AAS45" s="49"/>
      <c r="AAT45" s="49"/>
      <c r="AAU45" s="49"/>
      <c r="AAV45" s="49"/>
      <c r="AAW45" s="67">
        <f t="shared" si="2073"/>
        <v>0</v>
      </c>
      <c r="AAX45" s="68">
        <f t="shared" si="2074"/>
        <v>0</v>
      </c>
      <c r="AAY45" s="48"/>
      <c r="AAZ45" s="49"/>
      <c r="ABA45" s="49"/>
      <c r="ABB45" s="49"/>
      <c r="ABC45" s="49"/>
      <c r="ABD45" s="49"/>
      <c r="ABE45" s="67">
        <f t="shared" si="2075"/>
        <v>0</v>
      </c>
      <c r="ABF45" s="68">
        <f t="shared" si="2076"/>
        <v>0</v>
      </c>
      <c r="ABG45" s="48"/>
      <c r="ABH45" s="49"/>
      <c r="ABI45" s="49"/>
      <c r="ABJ45" s="49"/>
      <c r="ABK45" s="49"/>
      <c r="ABL45" s="49"/>
      <c r="ABM45" s="67">
        <f t="shared" si="2077"/>
        <v>0</v>
      </c>
      <c r="ABN45" s="68">
        <f t="shared" si="2078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79"/>
        <v>403</v>
      </c>
      <c r="ABV45" s="68">
        <f t="shared" si="2080"/>
        <v>67.166666666666671</v>
      </c>
      <c r="ABW45" s="48"/>
      <c r="ABX45" s="49"/>
      <c r="ABY45" s="49"/>
      <c r="ABZ45" s="49"/>
      <c r="ACA45" s="49"/>
      <c r="ACB45" s="49"/>
      <c r="ACC45" s="67">
        <f t="shared" si="2081"/>
        <v>0</v>
      </c>
      <c r="ACD45" s="68">
        <f t="shared" si="2082"/>
        <v>0</v>
      </c>
      <c r="ACE45" s="48"/>
      <c r="ACF45" s="49"/>
      <c r="ACG45" s="49"/>
      <c r="ACH45" s="49"/>
      <c r="ACI45" s="49"/>
      <c r="ACJ45" s="49"/>
      <c r="ACK45" s="67">
        <f t="shared" si="2083"/>
        <v>0</v>
      </c>
      <c r="ACL45" s="68">
        <f t="shared" si="2084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85"/>
        <v>210</v>
      </c>
      <c r="ACT45" s="68">
        <f t="shared" si="2086"/>
        <v>35</v>
      </c>
      <c r="ACU45" s="48"/>
      <c r="ACV45" s="49"/>
      <c r="ACW45" s="49"/>
      <c r="ACX45" s="49"/>
      <c r="ACY45" s="49"/>
      <c r="ACZ45" s="49"/>
      <c r="ADA45" s="67">
        <f t="shared" si="2087"/>
        <v>0</v>
      </c>
      <c r="ADB45" s="68">
        <f t="shared" si="2088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89"/>
        <v>200</v>
      </c>
      <c r="ADJ45" s="68">
        <f t="shared" si="2090"/>
        <v>33.333333333333336</v>
      </c>
      <c r="ADK45" s="48"/>
      <c r="ADL45" s="49"/>
      <c r="ADM45" s="49"/>
      <c r="ADN45" s="49"/>
      <c r="ADO45" s="49"/>
      <c r="ADP45" s="49"/>
      <c r="ADQ45" s="67">
        <f t="shared" si="2091"/>
        <v>0</v>
      </c>
      <c r="ADR45" s="68">
        <f t="shared" si="2092"/>
        <v>0</v>
      </c>
      <c r="ADS45" s="48"/>
      <c r="ADT45" s="49"/>
      <c r="ADU45" s="49"/>
      <c r="ADV45" s="49"/>
      <c r="ADW45" s="49"/>
      <c r="ADX45" s="49"/>
      <c r="ADY45" s="67">
        <f t="shared" si="2093"/>
        <v>0</v>
      </c>
      <c r="ADZ45" s="68">
        <f t="shared" si="2094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95"/>
        <v>204</v>
      </c>
      <c r="AEH45" s="68">
        <f t="shared" si="2096"/>
        <v>34</v>
      </c>
      <c r="AEI45" s="48"/>
      <c r="AEJ45" s="49"/>
      <c r="AEK45" s="49"/>
      <c r="AEL45" s="49"/>
      <c r="AEM45" s="49"/>
      <c r="AEN45" s="49"/>
      <c r="AEO45" s="67">
        <f t="shared" si="2097"/>
        <v>0</v>
      </c>
      <c r="AEP45" s="68">
        <f t="shared" si="2098"/>
        <v>0</v>
      </c>
      <c r="AEQ45" s="48"/>
      <c r="AER45" s="49"/>
      <c r="AES45" s="49"/>
      <c r="AET45" s="49"/>
      <c r="AEU45" s="49"/>
      <c r="AEV45" s="49"/>
      <c r="AEW45" s="67">
        <f t="shared" si="2099"/>
        <v>0</v>
      </c>
      <c r="AEX45" s="68">
        <f t="shared" si="2100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101"/>
        <v>220</v>
      </c>
      <c r="AFF45" s="68">
        <f t="shared" si="2102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103"/>
        <v>220</v>
      </c>
      <c r="AFN45" s="68">
        <f t="shared" si="2104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105"/>
        <v>220</v>
      </c>
      <c r="AFV45" s="68">
        <f t="shared" si="2106"/>
        <v>36.666666666666664</v>
      </c>
      <c r="AFW45" s="48"/>
      <c r="AFX45" s="49"/>
      <c r="AFY45" s="49"/>
      <c r="AFZ45" s="49"/>
      <c r="AGA45" s="49"/>
      <c r="AGB45" s="49"/>
      <c r="AGC45" s="67">
        <f t="shared" si="2107"/>
        <v>0</v>
      </c>
      <c r="AGD45" s="68">
        <f t="shared" si="2108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109"/>
        <v>220</v>
      </c>
      <c r="AGL45" s="68">
        <f t="shared" si="2110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111"/>
        <v>220</v>
      </c>
      <c r="AGU45" s="68">
        <f t="shared" si="2112"/>
        <v>36.666666666666664</v>
      </c>
      <c r="AGV45" s="48"/>
      <c r="AGW45" s="49"/>
      <c r="AGX45" s="49"/>
      <c r="AGY45" s="49"/>
      <c r="AGZ45" s="49"/>
      <c r="AHA45" s="49"/>
      <c r="AHB45" s="67">
        <f t="shared" si="2113"/>
        <v>0</v>
      </c>
      <c r="AHC45" s="68">
        <f t="shared" si="2114"/>
        <v>0</v>
      </c>
      <c r="AHD45" s="48"/>
      <c r="AHE45" s="49"/>
      <c r="AHF45" s="49"/>
      <c r="AHG45" s="49"/>
      <c r="AHH45" s="49"/>
      <c r="AHI45" s="49"/>
      <c r="AHJ45" s="67">
        <f t="shared" si="2115"/>
        <v>0</v>
      </c>
      <c r="AHK45" s="68">
        <f t="shared" si="2116"/>
        <v>0</v>
      </c>
      <c r="AHL45" s="48"/>
      <c r="AHM45" s="49"/>
      <c r="AHN45" s="49"/>
      <c r="AHO45" s="49"/>
      <c r="AHP45" s="49"/>
      <c r="AHQ45" s="49"/>
      <c r="AHR45" s="67">
        <f t="shared" si="2117"/>
        <v>0</v>
      </c>
      <c r="AHS45" s="68">
        <f t="shared" si="2118"/>
        <v>0</v>
      </c>
      <c r="AHT45" s="48"/>
      <c r="AHU45" s="49"/>
      <c r="AHV45" s="49"/>
      <c r="AHW45" s="49"/>
      <c r="AHX45" s="49"/>
      <c r="AHY45" s="49"/>
      <c r="AHZ45" s="67">
        <f t="shared" si="2119"/>
        <v>0</v>
      </c>
      <c r="AIA45" s="68">
        <f t="shared" si="2120"/>
        <v>0</v>
      </c>
      <c r="AIB45" s="48"/>
      <c r="AIC45" s="49"/>
      <c r="AID45" s="49"/>
      <c r="AIE45" s="49"/>
      <c r="AIF45" s="49"/>
      <c r="AIG45" s="49"/>
      <c r="AIH45" s="67">
        <f t="shared" si="2121"/>
        <v>0</v>
      </c>
      <c r="AII45" s="68">
        <f t="shared" si="2122"/>
        <v>0</v>
      </c>
      <c r="AIJ45" s="48"/>
      <c r="AIK45" s="49"/>
      <c r="AIL45" s="49"/>
      <c r="AIM45" s="49"/>
      <c r="AIN45" s="49"/>
      <c r="AIO45" s="49"/>
      <c r="AIP45" s="67">
        <f t="shared" si="2123"/>
        <v>0</v>
      </c>
      <c r="AIQ45" s="68">
        <f t="shared" si="2124"/>
        <v>0</v>
      </c>
      <c r="AIR45" s="48"/>
      <c r="AIS45" s="49"/>
      <c r="AIT45" s="49"/>
      <c r="AIU45" s="49"/>
      <c r="AIV45" s="49"/>
      <c r="AIW45" s="49"/>
      <c r="AIX45" s="67">
        <f t="shared" si="2125"/>
        <v>0</v>
      </c>
      <c r="AIY45" s="68">
        <f t="shared" si="2126"/>
        <v>0</v>
      </c>
      <c r="AIZ45" s="48"/>
      <c r="AJA45" s="49"/>
      <c r="AJB45" s="49"/>
      <c r="AJC45" s="49"/>
      <c r="AJD45" s="49"/>
      <c r="AJE45" s="49"/>
      <c r="AJF45" s="67">
        <f t="shared" si="2127"/>
        <v>0</v>
      </c>
      <c r="AJG45" s="68">
        <f t="shared" si="2128"/>
        <v>0</v>
      </c>
      <c r="AJH45" s="48"/>
      <c r="AJI45" s="49"/>
      <c r="AJJ45" s="49"/>
      <c r="AJK45" s="49"/>
      <c r="AJL45" s="49"/>
      <c r="AJM45" s="49"/>
      <c r="AJN45" s="42">
        <f t="shared" si="2129"/>
        <v>0</v>
      </c>
      <c r="AJO45" s="43">
        <f t="shared" si="2130"/>
        <v>0</v>
      </c>
      <c r="AJP45" s="48"/>
      <c r="AJQ45" s="49"/>
      <c r="AJR45" s="49"/>
      <c r="AJS45" s="49"/>
      <c r="AJT45" s="49"/>
      <c r="AJU45" s="49"/>
      <c r="AJV45" s="42">
        <f t="shared" si="2131"/>
        <v>0</v>
      </c>
      <c r="AJW45" s="43">
        <f t="shared" si="2132"/>
        <v>0</v>
      </c>
      <c r="AJX45" s="48"/>
      <c r="AJY45" s="49"/>
      <c r="AJZ45" s="49"/>
      <c r="AKA45" s="49"/>
      <c r="AKB45" s="49"/>
      <c r="AKC45" s="49"/>
      <c r="AKD45" s="67">
        <f t="shared" si="2133"/>
        <v>0</v>
      </c>
      <c r="AKE45" s="68">
        <f t="shared" si="2134"/>
        <v>0</v>
      </c>
      <c r="AKF45" s="48"/>
      <c r="AKG45" s="49"/>
      <c r="AKH45" s="49"/>
      <c r="AKI45" s="49"/>
      <c r="AKJ45" s="49"/>
      <c r="AKK45" s="49"/>
      <c r="AKL45" s="67">
        <f t="shared" si="2135"/>
        <v>0</v>
      </c>
      <c r="AKM45" s="184">
        <f t="shared" si="2136"/>
        <v>0</v>
      </c>
      <c r="AKN45" s="195"/>
      <c r="AKO45" s="49"/>
      <c r="AKP45" s="49"/>
      <c r="AKQ45" s="49"/>
      <c r="AKR45" s="49"/>
      <c r="AKS45" s="49"/>
      <c r="AKT45" s="67">
        <f t="shared" si="2137"/>
        <v>0</v>
      </c>
      <c r="AKU45" s="184">
        <f t="shared" si="2138"/>
        <v>0</v>
      </c>
      <c r="AKV45" s="48"/>
      <c r="AKW45" s="49"/>
      <c r="AKX45" s="49"/>
      <c r="AKY45" s="49"/>
      <c r="AKZ45" s="49"/>
      <c r="ALA45" s="49"/>
      <c r="ALB45" s="67">
        <f t="shared" si="2139"/>
        <v>0</v>
      </c>
      <c r="ALC45" s="68">
        <f t="shared" si="2140"/>
        <v>0</v>
      </c>
      <c r="ALD45" s="48"/>
      <c r="ALE45" s="49"/>
      <c r="ALF45" s="49"/>
      <c r="ALG45" s="49"/>
      <c r="ALH45" s="49"/>
      <c r="ALI45" s="49"/>
      <c r="ALJ45" s="67">
        <f t="shared" si="2141"/>
        <v>0</v>
      </c>
      <c r="ALK45" s="68">
        <f t="shared" si="2142"/>
        <v>0</v>
      </c>
      <c r="ALL45" s="48"/>
      <c r="ALM45" s="49"/>
      <c r="ALN45" s="49"/>
      <c r="ALO45" s="49"/>
      <c r="ALP45" s="49"/>
      <c r="ALQ45" s="49"/>
      <c r="ALR45" s="67">
        <f t="shared" si="2143"/>
        <v>0</v>
      </c>
      <c r="ALS45" s="68">
        <f t="shared" si="2144"/>
        <v>0</v>
      </c>
      <c r="ALT45" s="48"/>
      <c r="ALU45" s="49"/>
      <c r="ALV45" s="49"/>
      <c r="ALW45" s="49"/>
      <c r="ALX45" s="49"/>
      <c r="ALY45" s="49"/>
      <c r="ALZ45" s="67">
        <f t="shared" si="2145"/>
        <v>0</v>
      </c>
      <c r="AMA45" s="68">
        <f t="shared" si="2146"/>
        <v>0</v>
      </c>
      <c r="AMB45" s="48"/>
      <c r="AMC45" s="49"/>
      <c r="AMD45" s="49"/>
      <c r="AME45" s="49"/>
      <c r="AMF45" s="49"/>
      <c r="AMG45" s="49"/>
      <c r="AMH45" s="67">
        <f t="shared" si="2147"/>
        <v>0</v>
      </c>
      <c r="AMI45" s="68">
        <f t="shared" si="2148"/>
        <v>0</v>
      </c>
      <c r="AMJ45" s="48"/>
      <c r="AMK45" s="49"/>
      <c r="AML45" s="49"/>
      <c r="AMM45" s="49"/>
      <c r="AMN45" s="49"/>
      <c r="AMO45" s="49"/>
      <c r="AMP45" s="67">
        <f t="shared" si="2149"/>
        <v>0</v>
      </c>
      <c r="AMQ45" s="68">
        <f t="shared" si="2150"/>
        <v>0</v>
      </c>
      <c r="AMR45" s="48"/>
      <c r="AMS45" s="49"/>
      <c r="AMT45" s="49"/>
      <c r="AMU45" s="49"/>
      <c r="AMV45" s="49"/>
      <c r="AMW45" s="49"/>
      <c r="AMX45" s="67">
        <f t="shared" si="2151"/>
        <v>0</v>
      </c>
      <c r="AMY45" s="68">
        <f t="shared" si="2152"/>
        <v>0</v>
      </c>
      <c r="AMZ45" s="48"/>
      <c r="ANA45" s="49"/>
      <c r="ANB45" s="49"/>
      <c r="ANC45" s="49"/>
      <c r="AND45" s="49"/>
      <c r="ANE45" s="49"/>
      <c r="ANF45" s="67">
        <f t="shared" si="2153"/>
        <v>0</v>
      </c>
      <c r="ANG45" s="68">
        <f t="shared" si="2154"/>
        <v>0</v>
      </c>
      <c r="ANH45" s="48"/>
      <c r="ANI45" s="49"/>
      <c r="ANJ45" s="49"/>
      <c r="ANK45" s="49"/>
      <c r="ANL45" s="49"/>
      <c r="ANM45" s="49"/>
      <c r="ANN45" s="67">
        <f t="shared" si="2155"/>
        <v>0</v>
      </c>
      <c r="ANO45" s="68">
        <f t="shared" si="2156"/>
        <v>0</v>
      </c>
      <c r="ANP45" s="48"/>
      <c r="ANQ45" s="49"/>
      <c r="ANR45" s="49"/>
      <c r="ANS45" s="49"/>
      <c r="ANT45" s="49"/>
      <c r="ANU45" s="49"/>
      <c r="ANV45" s="67">
        <f t="shared" si="2157"/>
        <v>0</v>
      </c>
      <c r="ANW45" s="68">
        <f t="shared" si="2158"/>
        <v>0</v>
      </c>
      <c r="ANX45" s="82"/>
      <c r="ANY45" s="83"/>
      <c r="ANZ45" s="83"/>
      <c r="AOA45" s="83"/>
      <c r="AOB45" s="83"/>
      <c r="AOC45" s="83"/>
      <c r="AOD45" s="67">
        <f t="shared" si="2159"/>
        <v>0</v>
      </c>
      <c r="AOE45" s="68">
        <f t="shared" si="2160"/>
        <v>0</v>
      </c>
      <c r="AOF45" s="48"/>
      <c r="AOG45" s="49"/>
      <c r="AOH45" s="49"/>
      <c r="AOI45" s="49"/>
      <c r="AOJ45" s="49"/>
      <c r="AOK45" s="49"/>
      <c r="AOL45" s="67">
        <f t="shared" si="2161"/>
        <v>0</v>
      </c>
      <c r="AOM45" s="68">
        <f t="shared" si="2162"/>
        <v>0</v>
      </c>
      <c r="AON45" s="48"/>
      <c r="AOO45" s="49"/>
      <c r="AOP45" s="49"/>
      <c r="AOQ45" s="49"/>
      <c r="AOR45" s="49"/>
      <c r="AOS45" s="49"/>
      <c r="AOT45" s="67">
        <f t="shared" si="2163"/>
        <v>0</v>
      </c>
      <c r="AOU45" s="68">
        <f t="shared" si="2164"/>
        <v>0</v>
      </c>
      <c r="AOV45" s="48"/>
      <c r="AOW45" s="49"/>
      <c r="AOX45" s="49"/>
      <c r="AOY45" s="49"/>
      <c r="AOZ45" s="49"/>
      <c r="APA45" s="49"/>
      <c r="APB45" s="67">
        <f t="shared" si="2165"/>
        <v>0</v>
      </c>
      <c r="APC45" s="68">
        <f t="shared" si="2166"/>
        <v>0</v>
      </c>
      <c r="APD45" s="48"/>
      <c r="APE45" s="49"/>
      <c r="APF45" s="49"/>
      <c r="APG45" s="49"/>
      <c r="APH45" s="49"/>
      <c r="API45" s="49"/>
      <c r="APJ45" s="67">
        <f t="shared" si="2167"/>
        <v>0</v>
      </c>
      <c r="APK45" s="68">
        <f t="shared" si="2168"/>
        <v>0</v>
      </c>
      <c r="APL45" s="48"/>
      <c r="APM45" s="49"/>
      <c r="APN45" s="49"/>
      <c r="APO45" s="49"/>
      <c r="APP45" s="49"/>
      <c r="APQ45" s="49"/>
      <c r="APR45" s="67">
        <f t="shared" si="2169"/>
        <v>0</v>
      </c>
      <c r="APS45" s="68">
        <f t="shared" si="2170"/>
        <v>0</v>
      </c>
      <c r="APT45" s="48"/>
      <c r="APU45" s="49"/>
      <c r="APV45" s="49"/>
      <c r="APW45" s="49"/>
      <c r="APX45" s="49"/>
      <c r="APY45" s="49"/>
      <c r="APZ45" s="67">
        <f t="shared" si="2171"/>
        <v>0</v>
      </c>
      <c r="AQA45" s="68">
        <f t="shared" si="2172"/>
        <v>0</v>
      </c>
      <c r="AQB45" s="48"/>
      <c r="AQC45" s="49"/>
      <c r="AQD45" s="49"/>
      <c r="AQE45" s="49"/>
      <c r="AQF45" s="49"/>
      <c r="AQG45" s="49"/>
      <c r="AQH45" s="67">
        <f t="shared" si="2173"/>
        <v>0</v>
      </c>
      <c r="AQI45" s="68">
        <f t="shared" si="2174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75"/>
        <v>220</v>
      </c>
      <c r="AQQ45" s="68">
        <f t="shared" si="2176"/>
        <v>36.666666666666664</v>
      </c>
      <c r="AQR45" s="48"/>
      <c r="AQS45" s="49"/>
      <c r="AQT45" s="49"/>
      <c r="AQU45" s="49"/>
      <c r="AQV45" s="49"/>
      <c r="AQW45" s="49"/>
      <c r="AQX45" s="67">
        <f t="shared" si="2177"/>
        <v>0</v>
      </c>
      <c r="AQY45" s="68">
        <f t="shared" si="2178"/>
        <v>0</v>
      </c>
      <c r="AQZ45" s="48"/>
      <c r="ARA45" s="49"/>
      <c r="ARB45" s="49"/>
      <c r="ARC45" s="49"/>
      <c r="ARD45" s="49"/>
      <c r="ARE45" s="49"/>
      <c r="ARF45" s="67">
        <f t="shared" si="2179"/>
        <v>0</v>
      </c>
      <c r="ARG45" s="68">
        <f t="shared" si="2180"/>
        <v>0</v>
      </c>
      <c r="ARH45" s="48"/>
      <c r="ARI45" s="49"/>
      <c r="ARJ45" s="49"/>
      <c r="ARK45" s="49"/>
      <c r="ARL45" s="49"/>
      <c r="ARM45" s="49"/>
      <c r="ARN45" s="67">
        <f t="shared" si="2181"/>
        <v>0</v>
      </c>
      <c r="ARO45" s="68">
        <f t="shared" si="2182"/>
        <v>0</v>
      </c>
      <c r="ARP45" s="48"/>
      <c r="ARQ45" s="49"/>
      <c r="ARR45" s="49"/>
      <c r="ARS45" s="49"/>
      <c r="ART45" s="49"/>
      <c r="ARU45" s="49"/>
      <c r="ARV45" s="67">
        <f t="shared" si="2183"/>
        <v>0</v>
      </c>
      <c r="ARW45" s="68">
        <f t="shared" si="2184"/>
        <v>0</v>
      </c>
      <c r="ARX45" s="48"/>
      <c r="ARY45" s="49"/>
      <c r="ARZ45" s="49"/>
      <c r="ASA45" s="49"/>
      <c r="ASB45" s="49"/>
      <c r="ASC45" s="49"/>
      <c r="ASD45" s="67">
        <f t="shared" si="2185"/>
        <v>0</v>
      </c>
      <c r="ASE45" s="68">
        <f t="shared" si="2186"/>
        <v>0</v>
      </c>
      <c r="ASF45" s="48"/>
      <c r="ASG45" s="49"/>
      <c r="ASH45" s="49"/>
      <c r="ASI45" s="49"/>
      <c r="ASJ45" s="49"/>
      <c r="ASK45" s="49"/>
      <c r="ASL45" s="67">
        <f t="shared" si="2187"/>
        <v>0</v>
      </c>
      <c r="ASM45" s="68">
        <f t="shared" si="2188"/>
        <v>0</v>
      </c>
      <c r="ASN45" s="48"/>
      <c r="ASO45" s="49"/>
      <c r="ASP45" s="49"/>
      <c r="ASQ45" s="49"/>
      <c r="ASR45" s="49"/>
      <c r="ASS45" s="49"/>
      <c r="AST45" s="67">
        <f t="shared" si="2189"/>
        <v>0</v>
      </c>
      <c r="ASU45" s="68">
        <f t="shared" si="2190"/>
        <v>0</v>
      </c>
      <c r="ASV45" s="48"/>
      <c r="ASW45" s="49"/>
      <c r="ASX45" s="49"/>
      <c r="ASY45" s="49"/>
      <c r="ASZ45" s="49"/>
      <c r="ATA45" s="49"/>
      <c r="ATB45" s="67">
        <f t="shared" si="2191"/>
        <v>0</v>
      </c>
      <c r="ATC45" s="68">
        <f t="shared" si="2192"/>
        <v>0</v>
      </c>
      <c r="ATD45" s="48"/>
      <c r="ATE45" s="49"/>
      <c r="ATF45" s="49"/>
      <c r="ATG45" s="49"/>
      <c r="ATH45" s="49"/>
      <c r="ATI45" s="49"/>
      <c r="ATJ45" s="67">
        <f t="shared" si="2193"/>
        <v>0</v>
      </c>
      <c r="ATK45" s="68">
        <f t="shared" si="2194"/>
        <v>0</v>
      </c>
      <c r="ATL45" s="48"/>
      <c r="ATM45" s="49"/>
      <c r="ATN45" s="49"/>
      <c r="ATO45" s="49"/>
      <c r="ATP45" s="49"/>
      <c r="ATQ45" s="49"/>
      <c r="ATR45" s="67">
        <f t="shared" si="2195"/>
        <v>0</v>
      </c>
      <c r="ATS45" s="68">
        <f t="shared" si="2196"/>
        <v>0</v>
      </c>
      <c r="ATT45" s="48"/>
      <c r="ATU45" s="49"/>
      <c r="ATV45" s="49"/>
      <c r="ATW45" s="49"/>
      <c r="ATX45" s="49"/>
      <c r="ATY45" s="49"/>
      <c r="ATZ45" s="67">
        <f t="shared" si="2197"/>
        <v>0</v>
      </c>
      <c r="AUA45" s="68">
        <f t="shared" si="2198"/>
        <v>0</v>
      </c>
      <c r="AUB45" s="48"/>
      <c r="AUC45" s="49"/>
      <c r="AUD45" s="49"/>
      <c r="AUE45" s="49"/>
      <c r="AUF45" s="49"/>
      <c r="AUG45" s="49"/>
      <c r="AUH45" s="67">
        <f t="shared" si="2199"/>
        <v>0</v>
      </c>
      <c r="AUI45" s="68">
        <f t="shared" si="2200"/>
        <v>0</v>
      </c>
      <c r="AUJ45" s="48"/>
      <c r="AUK45" s="49"/>
      <c r="AUL45" s="49"/>
      <c r="AUM45" s="49"/>
      <c r="AUN45" s="49"/>
      <c r="AUO45" s="49"/>
      <c r="AUP45" s="67">
        <f t="shared" si="2201"/>
        <v>0</v>
      </c>
      <c r="AUQ45" s="68">
        <f t="shared" si="2202"/>
        <v>0</v>
      </c>
      <c r="AUR45" s="48"/>
      <c r="AUS45" s="49"/>
      <c r="AUT45" s="49"/>
      <c r="AUU45" s="49"/>
      <c r="AUV45" s="49"/>
      <c r="AUW45" s="49"/>
      <c r="AUX45" s="67">
        <f t="shared" si="2203"/>
        <v>0</v>
      </c>
      <c r="AUY45" s="68">
        <f t="shared" si="2204"/>
        <v>0</v>
      </c>
      <c r="AUZ45" s="48"/>
      <c r="AVA45" s="49"/>
      <c r="AVB45" s="49"/>
      <c r="AVC45" s="49"/>
      <c r="AVD45" s="49"/>
      <c r="AVE45" s="49"/>
      <c r="AVF45" s="67">
        <f t="shared" si="2205"/>
        <v>0</v>
      </c>
      <c r="AVG45" s="68">
        <f t="shared" si="2206"/>
        <v>0</v>
      </c>
      <c r="AVH45" s="48"/>
      <c r="AVI45" s="49"/>
      <c r="AVJ45" s="49"/>
      <c r="AVK45" s="49"/>
      <c r="AVL45" s="49"/>
      <c r="AVM45" s="49"/>
      <c r="AVN45" s="67">
        <f t="shared" si="2207"/>
        <v>0</v>
      </c>
      <c r="AVO45" s="68">
        <f t="shared" si="2208"/>
        <v>0</v>
      </c>
      <c r="AVP45" s="48"/>
      <c r="AVQ45" s="49"/>
      <c r="AVR45" s="49"/>
      <c r="AVS45" s="49"/>
      <c r="AVT45" s="49"/>
      <c r="AVU45" s="49"/>
      <c r="AVV45" s="67">
        <f t="shared" si="2209"/>
        <v>0</v>
      </c>
      <c r="AVW45" s="68">
        <f t="shared" si="2210"/>
        <v>0</v>
      </c>
      <c r="AVX45" s="48"/>
      <c r="AVY45" s="49"/>
      <c r="AVZ45" s="49"/>
      <c r="AWA45" s="49"/>
      <c r="AWB45" s="49"/>
      <c r="AWC45" s="49"/>
      <c r="AWD45" s="67">
        <f t="shared" si="2211"/>
        <v>0</v>
      </c>
      <c r="AWE45" s="68">
        <f t="shared" si="2212"/>
        <v>0</v>
      </c>
      <c r="AWF45" s="48"/>
      <c r="AWG45" s="49"/>
      <c r="AWH45" s="49"/>
      <c r="AWI45" s="49"/>
      <c r="AWJ45" s="49"/>
      <c r="AWK45" s="49"/>
      <c r="AWL45" s="67">
        <f t="shared" si="2213"/>
        <v>0</v>
      </c>
      <c r="AWM45" s="184">
        <f t="shared" si="2214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15"/>
        <v>220</v>
      </c>
      <c r="AWU45" s="43">
        <f t="shared" si="2216"/>
        <v>36.666666666666664</v>
      </c>
      <c r="AWV45" s="48"/>
      <c r="AWW45" s="49"/>
      <c r="AWX45" s="49"/>
      <c r="AWY45" s="49"/>
      <c r="AWZ45" s="49"/>
      <c r="AXA45" s="49"/>
      <c r="AXB45" s="42">
        <f t="shared" si="2217"/>
        <v>0</v>
      </c>
      <c r="AXC45" s="43">
        <f t="shared" si="2218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19"/>
        <v>220</v>
      </c>
      <c r="AXK45" s="43">
        <f t="shared" si="2220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21"/>
        <v>303</v>
      </c>
      <c r="AXS45" s="43">
        <f t="shared" si="2222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23"/>
        <v>137</v>
      </c>
      <c r="AYA45" s="43">
        <f t="shared" si="2224"/>
        <v>22.833333333333332</v>
      </c>
      <c r="AYB45" s="48"/>
      <c r="AYC45" s="49"/>
      <c r="AYD45" s="49"/>
      <c r="AYE45" s="49"/>
      <c r="AYF45" s="49"/>
      <c r="AYG45" s="49"/>
      <c r="AYH45" s="42">
        <f t="shared" si="2225"/>
        <v>0</v>
      </c>
      <c r="AYI45" s="43">
        <f t="shared" si="2226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27"/>
        <v>220</v>
      </c>
      <c r="AYQ45" s="43">
        <f t="shared" si="2228"/>
        <v>36.666666666666664</v>
      </c>
      <c r="AYR45" s="48"/>
      <c r="AYS45" s="49"/>
      <c r="AYT45" s="49"/>
      <c r="AYU45" s="49"/>
      <c r="AYV45" s="49"/>
      <c r="AYW45" s="49"/>
      <c r="AYX45" s="42">
        <f t="shared" si="2229"/>
        <v>0</v>
      </c>
      <c r="AYY45" s="43">
        <f t="shared" si="2230"/>
        <v>0</v>
      </c>
      <c r="AYZ45" s="48"/>
      <c r="AZA45" s="49"/>
      <c r="AZB45" s="49"/>
      <c r="AZC45" s="49"/>
      <c r="AZD45" s="49"/>
      <c r="AZE45" s="49"/>
      <c r="AZF45" s="42">
        <f t="shared" si="2231"/>
        <v>0</v>
      </c>
      <c r="AZG45" s="43">
        <f t="shared" si="2232"/>
        <v>0</v>
      </c>
      <c r="AZH45" s="48"/>
      <c r="AZI45" s="49"/>
      <c r="AZJ45" s="49"/>
      <c r="AZK45" s="49"/>
      <c r="AZL45" s="49"/>
      <c r="AZM45" s="49"/>
      <c r="AZN45" s="42">
        <f t="shared" si="2233"/>
        <v>0</v>
      </c>
      <c r="AZO45" s="43">
        <f t="shared" si="2234"/>
        <v>0</v>
      </c>
      <c r="AZP45" s="48"/>
      <c r="AZQ45" s="49"/>
      <c r="AZR45" s="49"/>
      <c r="AZS45" s="49"/>
      <c r="AZT45" s="49"/>
      <c r="AZU45" s="49"/>
      <c r="AZV45" s="42">
        <f t="shared" si="2235"/>
        <v>0</v>
      </c>
      <c r="AZW45" s="43">
        <f t="shared" si="2236"/>
        <v>0</v>
      </c>
      <c r="AZX45" s="82"/>
      <c r="AZY45" s="83"/>
      <c r="AZZ45" s="83"/>
      <c r="BAA45" s="83"/>
      <c r="BAB45" s="83"/>
      <c r="BAC45" s="83"/>
      <c r="BAD45" s="42">
        <f t="shared" si="2237"/>
        <v>0</v>
      </c>
      <c r="BAE45" s="43">
        <f t="shared" si="2238"/>
        <v>0</v>
      </c>
      <c r="BAF45" s="48"/>
      <c r="BAG45" s="49"/>
      <c r="BAH45" s="49"/>
      <c r="BAI45" s="49"/>
      <c r="BAJ45" s="49"/>
      <c r="BAK45" s="49"/>
      <c r="BAL45" s="42">
        <f t="shared" si="2239"/>
        <v>0</v>
      </c>
      <c r="BAM45" s="43">
        <f t="shared" si="2240"/>
        <v>0</v>
      </c>
      <c r="BAN45" s="48"/>
      <c r="BAO45" s="49"/>
      <c r="BAP45" s="49"/>
      <c r="BAQ45" s="49"/>
      <c r="BAR45" s="49"/>
      <c r="BAS45" s="49"/>
      <c r="BAT45" s="42">
        <f t="shared" si="2241"/>
        <v>0</v>
      </c>
      <c r="BAU45" s="43">
        <f t="shared" si="2242"/>
        <v>0</v>
      </c>
      <c r="BAV45" s="48"/>
      <c r="BAW45" s="49"/>
      <c r="BAX45" s="49"/>
      <c r="BAY45" s="49"/>
      <c r="BAZ45" s="49"/>
      <c r="BBA45" s="49"/>
      <c r="BBB45" s="42">
        <f t="shared" si="2243"/>
        <v>0</v>
      </c>
      <c r="BBC45" s="43">
        <f t="shared" si="2244"/>
        <v>0</v>
      </c>
      <c r="BBD45" s="48"/>
      <c r="BBE45" s="49"/>
      <c r="BBF45" s="49"/>
      <c r="BBG45" s="49"/>
      <c r="BBH45" s="49"/>
      <c r="BBI45" s="49"/>
      <c r="BBJ45" s="42">
        <f t="shared" si="2245"/>
        <v>0</v>
      </c>
      <c r="BBK45" s="43">
        <f t="shared" si="2246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47"/>
        <v>1345</v>
      </c>
      <c r="BBS45" s="43">
        <f t="shared" si="2248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49"/>
        <v>110</v>
      </c>
      <c r="BCA45" s="43">
        <f t="shared" si="2250"/>
        <v>18.333333333333332</v>
      </c>
      <c r="BCB45" s="48"/>
      <c r="BCC45" s="49"/>
      <c r="BCD45" s="49"/>
      <c r="BCE45" s="49"/>
      <c r="BCF45" s="49"/>
      <c r="BCG45" s="49"/>
      <c r="BCH45" s="42">
        <f t="shared" si="2251"/>
        <v>0</v>
      </c>
      <c r="BCI45" s="43">
        <f t="shared" si="2252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53"/>
        <v>220</v>
      </c>
      <c r="BCQ45" s="43">
        <f t="shared" si="2254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55"/>
        <v>220</v>
      </c>
      <c r="BCY45" s="43">
        <f t="shared" si="2256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57"/>
        <v>220</v>
      </c>
      <c r="BDG45" s="43">
        <f t="shared" si="2258"/>
        <v>36.666666666666664</v>
      </c>
      <c r="BDH45" s="48"/>
      <c r="BDI45" s="49"/>
      <c r="BDJ45" s="49"/>
      <c r="BDK45" s="49"/>
      <c r="BDL45" s="49"/>
      <c r="BDM45" s="49"/>
      <c r="BDN45" s="42">
        <f t="shared" si="2259"/>
        <v>0</v>
      </c>
      <c r="BDO45" s="43">
        <f t="shared" si="2260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61"/>
        <v>110</v>
      </c>
      <c r="BDW45" s="43">
        <f t="shared" si="2262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63"/>
        <v>220</v>
      </c>
      <c r="BEE45" s="43">
        <f t="shared" si="2264"/>
        <v>36.666666666666664</v>
      </c>
      <c r="BEF45" s="48"/>
      <c r="BEG45" s="49"/>
      <c r="BEH45" s="49"/>
      <c r="BEI45" s="49"/>
      <c r="BEJ45" s="49"/>
      <c r="BEK45" s="49"/>
      <c r="BEL45" s="42">
        <f t="shared" si="2265"/>
        <v>0</v>
      </c>
      <c r="BEM45" s="43">
        <f t="shared" si="2266"/>
        <v>0</v>
      </c>
      <c r="BEN45" s="48"/>
      <c r="BEO45" s="49"/>
      <c r="BEP45" s="49"/>
      <c r="BEQ45" s="49"/>
      <c r="BER45" s="49"/>
      <c r="BES45" s="49"/>
      <c r="BET45" s="42">
        <f t="shared" si="2267"/>
        <v>0</v>
      </c>
      <c r="BEU45" s="43">
        <f t="shared" si="2268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69"/>
        <v>220</v>
      </c>
      <c r="BFC45" s="43">
        <f t="shared" si="2270"/>
        <v>36.666666666666664</v>
      </c>
      <c r="BFD45" s="48"/>
      <c r="BFE45" s="49"/>
      <c r="BFF45" s="49"/>
      <c r="BFG45" s="49"/>
      <c r="BFH45" s="49"/>
      <c r="BFI45" s="49"/>
      <c r="BFJ45" s="42">
        <f t="shared" si="2271"/>
        <v>0</v>
      </c>
      <c r="BFK45" s="43">
        <f t="shared" si="2272"/>
        <v>0</v>
      </c>
      <c r="BFL45" s="48"/>
      <c r="BFM45" s="49"/>
      <c r="BFN45" s="49"/>
      <c r="BFO45" s="49"/>
      <c r="BFP45" s="49"/>
      <c r="BFQ45" s="49"/>
      <c r="BFR45" s="42">
        <f t="shared" si="2273"/>
        <v>0</v>
      </c>
      <c r="BFS45" s="43">
        <f t="shared" si="2274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75"/>
        <v>110</v>
      </c>
      <c r="BGA45" s="43">
        <f t="shared" si="2276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77"/>
        <v>222</v>
      </c>
      <c r="BGI45" s="43">
        <f t="shared" si="2278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79"/>
        <v>110</v>
      </c>
      <c r="BGQ45" s="43">
        <f t="shared" si="2280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81"/>
        <v>220</v>
      </c>
      <c r="BGY45" s="43">
        <f t="shared" si="2282"/>
        <v>36.666666666666664</v>
      </c>
      <c r="BGZ45" s="239"/>
      <c r="BHA45" s="1"/>
      <c r="BHB45" s="1"/>
      <c r="BHC45" s="1"/>
      <c r="BHD45" s="1"/>
      <c r="BHE45" s="1"/>
      <c r="BHF45" s="42">
        <f t="shared" si="2283"/>
        <v>0</v>
      </c>
      <c r="BHG45" s="43">
        <f t="shared" si="2284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85"/>
        <v>220</v>
      </c>
      <c r="BHO45" s="43">
        <f t="shared" si="2286"/>
        <v>36.666666666666664</v>
      </c>
      <c r="BHP45" s="48"/>
      <c r="BHQ45" s="49"/>
      <c r="BHR45" s="49"/>
      <c r="BHS45" s="49"/>
      <c r="BHT45" s="49"/>
      <c r="BHU45" s="49"/>
      <c r="BHV45" s="42">
        <f t="shared" si="2287"/>
        <v>0</v>
      </c>
      <c r="BHW45" s="43">
        <f t="shared" si="2288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89"/>
        <v>440</v>
      </c>
      <c r="BIE45" s="43">
        <f t="shared" si="2290"/>
        <v>73.333333333333329</v>
      </c>
      <c r="BIF45" s="48"/>
      <c r="BIG45" s="49"/>
      <c r="BIH45" s="49"/>
      <c r="BII45" s="49"/>
      <c r="BIJ45" s="49"/>
      <c r="BIK45" s="49"/>
      <c r="BIL45" s="42">
        <f t="shared" si="2291"/>
        <v>0</v>
      </c>
      <c r="BIM45" s="43">
        <f t="shared" si="2292"/>
        <v>0</v>
      </c>
      <c r="BIN45" s="48"/>
      <c r="BIO45" s="49"/>
      <c r="BIP45" s="49"/>
      <c r="BIQ45" s="49"/>
      <c r="BIR45" s="49"/>
      <c r="BIS45" s="49"/>
      <c r="BIT45" s="42">
        <f t="shared" si="2293"/>
        <v>0</v>
      </c>
      <c r="BIU45" s="101">
        <f t="shared" si="2294"/>
        <v>0</v>
      </c>
      <c r="BIV45" s="195"/>
      <c r="BIW45" s="49"/>
      <c r="BIX45" s="49"/>
      <c r="BIY45" s="49"/>
      <c r="BIZ45" s="49"/>
      <c r="BJA45" s="49"/>
      <c r="BJB45" s="42">
        <f t="shared" si="2295"/>
        <v>0</v>
      </c>
      <c r="BJC45" s="101">
        <f t="shared" si="2296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97"/>
        <v>220</v>
      </c>
      <c r="BJK45" s="43">
        <f t="shared" si="2298"/>
        <v>36.666666666666664</v>
      </c>
      <c r="BJL45" s="48"/>
      <c r="BJM45" s="49"/>
      <c r="BJN45" s="49"/>
      <c r="BJO45" s="49"/>
      <c r="BJP45" s="49"/>
      <c r="BJQ45" s="49"/>
      <c r="BJR45" s="42">
        <f t="shared" si="2299"/>
        <v>0</v>
      </c>
      <c r="BJS45" s="43">
        <f t="shared" si="2300"/>
        <v>0</v>
      </c>
      <c r="BJT45" s="48"/>
      <c r="BJU45" s="49"/>
      <c r="BJV45" s="49"/>
      <c r="BJW45" s="49"/>
      <c r="BJX45" s="49"/>
      <c r="BJY45" s="49"/>
      <c r="BJZ45" s="42">
        <f t="shared" si="2301"/>
        <v>0</v>
      </c>
      <c r="BKA45" s="43">
        <f t="shared" si="2302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303"/>
        <v>220</v>
      </c>
      <c r="BKI45" s="68">
        <f t="shared" si="2304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305"/>
        <v>220</v>
      </c>
      <c r="BKQ45" s="43">
        <f t="shared" si="2306"/>
        <v>36.666666666666664</v>
      </c>
      <c r="BKR45" s="48"/>
      <c r="BKS45" s="49"/>
      <c r="BKT45" s="49"/>
      <c r="BKU45" s="49"/>
      <c r="BKV45" s="49"/>
      <c r="BKW45" s="49"/>
      <c r="BKX45" s="42">
        <f t="shared" si="2307"/>
        <v>0</v>
      </c>
      <c r="BKY45" s="43">
        <f t="shared" si="2308"/>
        <v>0</v>
      </c>
      <c r="BKZ45" s="48"/>
      <c r="BLA45" s="49"/>
      <c r="BLB45" s="49"/>
      <c r="BLC45" s="49"/>
      <c r="BLD45" s="49"/>
      <c r="BLE45" s="49"/>
      <c r="BLF45" s="42">
        <f t="shared" si="2309"/>
        <v>0</v>
      </c>
      <c r="BLG45" s="43">
        <f t="shared" si="2310"/>
        <v>0</v>
      </c>
      <c r="BLH45" s="48"/>
      <c r="BLI45" s="49"/>
      <c r="BLJ45" s="49"/>
      <c r="BLK45" s="49"/>
      <c r="BLL45" s="49"/>
      <c r="BLM45" s="49"/>
      <c r="BLN45" s="42">
        <f t="shared" si="2311"/>
        <v>0</v>
      </c>
      <c r="BLO45" s="43">
        <f t="shared" si="2312"/>
        <v>0</v>
      </c>
      <c r="BLP45" s="48"/>
      <c r="BLQ45" s="49"/>
      <c r="BLR45" s="49"/>
      <c r="BLS45" s="49"/>
      <c r="BLT45" s="49"/>
      <c r="BLU45" s="49"/>
      <c r="BLV45" s="42">
        <f t="shared" si="2313"/>
        <v>0</v>
      </c>
      <c r="BLW45" s="43">
        <f t="shared" si="2314"/>
        <v>0</v>
      </c>
      <c r="BLX45" s="48"/>
      <c r="BLY45" s="49"/>
      <c r="BLZ45" s="49"/>
      <c r="BMA45" s="49"/>
      <c r="BMB45" s="49"/>
      <c r="BMC45" s="49"/>
      <c r="BMD45" s="42">
        <f t="shared" si="2315"/>
        <v>0</v>
      </c>
      <c r="BME45" s="43">
        <f t="shared" si="2316"/>
        <v>0</v>
      </c>
      <c r="BMF45" s="48"/>
      <c r="BMG45" s="49"/>
      <c r="BMH45" s="49"/>
      <c r="BMI45" s="49"/>
      <c r="BMJ45" s="49"/>
      <c r="BMK45" s="49"/>
      <c r="BML45" s="42">
        <f t="shared" si="2317"/>
        <v>0</v>
      </c>
      <c r="BMM45" s="43">
        <f t="shared" si="2318"/>
        <v>0</v>
      </c>
      <c r="BMN45" s="48"/>
      <c r="BMO45" s="49"/>
      <c r="BMP45" s="49"/>
      <c r="BMQ45" s="49"/>
      <c r="BMR45" s="49"/>
      <c r="BMS45" s="49"/>
      <c r="BMT45" s="42">
        <f t="shared" si="2319"/>
        <v>0</v>
      </c>
      <c r="BMU45" s="43">
        <f t="shared" si="2320"/>
        <v>0</v>
      </c>
      <c r="BMV45" s="48"/>
      <c r="BMW45" s="49"/>
      <c r="BMX45" s="49"/>
      <c r="BMY45" s="49"/>
      <c r="BMZ45" s="49"/>
      <c r="BNA45" s="49"/>
      <c r="BNB45" s="42">
        <f t="shared" si="2321"/>
        <v>0</v>
      </c>
      <c r="BNC45" s="43">
        <f t="shared" si="2322"/>
        <v>0</v>
      </c>
      <c r="BND45" s="48"/>
      <c r="BNE45" s="49"/>
      <c r="BNF45" s="49"/>
      <c r="BNG45" s="49"/>
      <c r="BNH45" s="49"/>
      <c r="BNI45" s="49"/>
      <c r="BNJ45" s="42">
        <f t="shared" si="2323"/>
        <v>0</v>
      </c>
      <c r="BNK45" s="43">
        <f t="shared" si="2324"/>
        <v>0</v>
      </c>
      <c r="BNL45" s="48"/>
      <c r="BNM45" s="49"/>
      <c r="BNN45" s="49"/>
      <c r="BNO45" s="49"/>
      <c r="BNP45" s="49"/>
      <c r="BNQ45" s="49"/>
      <c r="BNR45" s="42">
        <f t="shared" si="2325"/>
        <v>0</v>
      </c>
      <c r="BNS45" s="43">
        <f t="shared" si="2326"/>
        <v>0</v>
      </c>
      <c r="BNT45" s="48"/>
      <c r="BNU45" s="49"/>
      <c r="BNV45" s="49"/>
      <c r="BNW45" s="49"/>
      <c r="BNX45" s="49"/>
      <c r="BNY45" s="49"/>
      <c r="BNZ45" s="42">
        <f t="shared" si="2327"/>
        <v>0</v>
      </c>
      <c r="BOA45" s="43">
        <f t="shared" si="2328"/>
        <v>0</v>
      </c>
      <c r="BOB45" s="48"/>
      <c r="BOC45" s="49"/>
      <c r="BOD45" s="49"/>
      <c r="BOE45" s="49"/>
      <c r="BOF45" s="49"/>
      <c r="BOG45" s="49"/>
      <c r="BOH45" s="42">
        <f t="shared" si="2329"/>
        <v>0</v>
      </c>
      <c r="BOI45" s="43">
        <f t="shared" si="2330"/>
        <v>0</v>
      </c>
      <c r="BOJ45" s="48"/>
      <c r="BOK45" s="49"/>
      <c r="BOL45" s="49"/>
      <c r="BOM45" s="49"/>
      <c r="BON45" s="49"/>
      <c r="BOO45" s="49"/>
      <c r="BOP45" s="42">
        <f t="shared" si="2331"/>
        <v>0</v>
      </c>
      <c r="BOQ45" s="43">
        <f t="shared" si="2332"/>
        <v>0</v>
      </c>
      <c r="BOR45" s="48"/>
      <c r="BOS45" s="49"/>
      <c r="BOT45" s="49"/>
      <c r="BOU45" s="49"/>
      <c r="BOV45" s="49"/>
      <c r="BOW45" s="49"/>
      <c r="BOX45" s="42">
        <f t="shared" si="2333"/>
        <v>0</v>
      </c>
      <c r="BOY45" s="43">
        <f t="shared" si="2334"/>
        <v>0</v>
      </c>
      <c r="BOZ45" s="48"/>
      <c r="BPA45" s="49"/>
      <c r="BPB45" s="49"/>
      <c r="BPC45" s="49"/>
      <c r="BPD45" s="49"/>
      <c r="BPE45" s="49"/>
      <c r="BPF45" s="42">
        <f t="shared" si="2335"/>
        <v>0</v>
      </c>
      <c r="BPG45" s="43">
        <f t="shared" si="2336"/>
        <v>0</v>
      </c>
      <c r="BPH45" s="48"/>
      <c r="BPI45" s="49"/>
      <c r="BPJ45" s="49"/>
      <c r="BPK45" s="49"/>
      <c r="BPL45" s="49"/>
      <c r="BPM45" s="49"/>
      <c r="BPN45" s="42">
        <f t="shared" si="2337"/>
        <v>0</v>
      </c>
      <c r="BPO45" s="43">
        <f t="shared" si="2338"/>
        <v>0</v>
      </c>
      <c r="BPP45" s="48"/>
      <c r="BPQ45" s="49"/>
      <c r="BPR45" s="49"/>
      <c r="BPS45" s="49"/>
      <c r="BPT45" s="49"/>
      <c r="BPU45" s="49"/>
      <c r="BPV45" s="42">
        <f t="shared" si="2339"/>
        <v>0</v>
      </c>
      <c r="BPW45" s="43">
        <f t="shared" si="2340"/>
        <v>0</v>
      </c>
      <c r="BPX45" s="48"/>
      <c r="BPY45" s="49"/>
      <c r="BPZ45" s="49"/>
      <c r="BQA45" s="49"/>
      <c r="BQB45" s="49"/>
      <c r="BQC45" s="49"/>
      <c r="BQD45" s="67">
        <f t="shared" si="2341"/>
        <v>0</v>
      </c>
      <c r="BQE45" s="43">
        <f t="shared" si="2342"/>
        <v>0</v>
      </c>
      <c r="BQF45" s="48"/>
      <c r="BQG45" s="49"/>
      <c r="BQH45" s="49"/>
      <c r="BQI45" s="49"/>
      <c r="BQJ45" s="49"/>
      <c r="BQK45" s="49"/>
      <c r="BQL45" s="67">
        <f t="shared" si="2343"/>
        <v>0</v>
      </c>
      <c r="BQM45" s="43">
        <f t="shared" si="2344"/>
        <v>0</v>
      </c>
      <c r="BQN45" s="48"/>
      <c r="BQO45" s="49"/>
      <c r="BQP45" s="49"/>
      <c r="BQQ45" s="49"/>
      <c r="BQR45" s="49"/>
      <c r="BQS45" s="49"/>
      <c r="BQT45" s="67">
        <f t="shared" si="2345"/>
        <v>0</v>
      </c>
      <c r="BQU45" s="43">
        <f t="shared" si="2346"/>
        <v>0</v>
      </c>
      <c r="BQV45" s="48"/>
      <c r="BQW45" s="49"/>
      <c r="BQX45" s="49"/>
      <c r="BQY45" s="49"/>
      <c r="BQZ45" s="49"/>
      <c r="BRA45" s="49"/>
      <c r="BRB45" s="67">
        <f t="shared" si="2347"/>
        <v>0</v>
      </c>
      <c r="BRC45" s="43">
        <f t="shared" si="2348"/>
        <v>0</v>
      </c>
      <c r="BRD45" s="48"/>
      <c r="BRE45" s="49"/>
      <c r="BRF45" s="49"/>
      <c r="BRG45" s="49"/>
      <c r="BRH45" s="49"/>
      <c r="BRI45" s="49"/>
      <c r="BRJ45" s="67">
        <f t="shared" si="2349"/>
        <v>0</v>
      </c>
      <c r="BRK45" s="43">
        <f t="shared" si="2350"/>
        <v>0</v>
      </c>
      <c r="BRL45" s="48"/>
      <c r="BRM45" s="49"/>
      <c r="BRN45" s="49"/>
      <c r="BRO45" s="49"/>
      <c r="BRP45" s="49"/>
      <c r="BRQ45" s="49"/>
      <c r="BRR45" s="67">
        <f t="shared" si="2351"/>
        <v>0</v>
      </c>
      <c r="BRS45" s="68">
        <f t="shared" si="2352"/>
        <v>0</v>
      </c>
      <c r="BRT45" s="63"/>
      <c r="BRU45" s="64"/>
      <c r="BRV45" s="64"/>
      <c r="BRW45" s="64"/>
      <c r="BRX45" s="64"/>
      <c r="BRY45" s="64"/>
      <c r="BRZ45" s="67">
        <f t="shared" si="2353"/>
        <v>0</v>
      </c>
      <c r="BSA45" s="43">
        <f t="shared" si="2354"/>
        <v>0</v>
      </c>
      <c r="BSB45" s="48"/>
      <c r="BSC45" s="49"/>
      <c r="BSD45" s="49"/>
      <c r="BSE45" s="49"/>
      <c r="BSF45" s="49"/>
      <c r="BSG45" s="49"/>
      <c r="BSH45" s="67">
        <f t="shared" si="2355"/>
        <v>0</v>
      </c>
      <c r="BSI45" s="43">
        <f t="shared" si="2356"/>
        <v>0</v>
      </c>
      <c r="BSJ45" s="48"/>
      <c r="BSK45" s="49"/>
      <c r="BSL45" s="49"/>
      <c r="BSM45" s="49"/>
      <c r="BSN45" s="49"/>
      <c r="BSO45" s="49"/>
      <c r="BSP45" s="67">
        <f t="shared" si="2357"/>
        <v>0</v>
      </c>
      <c r="BSQ45" s="43">
        <f t="shared" si="2358"/>
        <v>0</v>
      </c>
      <c r="BSR45" s="48"/>
      <c r="BSS45" s="49"/>
      <c r="BST45" s="49"/>
      <c r="BSU45" s="49"/>
      <c r="BSV45" s="49"/>
      <c r="BSW45" s="49"/>
      <c r="BSX45" s="67">
        <f t="shared" si="2359"/>
        <v>0</v>
      </c>
      <c r="BSY45" s="43">
        <f t="shared" si="2360"/>
        <v>0</v>
      </c>
      <c r="BSZ45" s="48"/>
      <c r="BTA45" s="49"/>
      <c r="BTB45" s="49"/>
      <c r="BTC45" s="49"/>
      <c r="BTD45" s="49"/>
      <c r="BTE45" s="49"/>
      <c r="BTF45" s="67">
        <f t="shared" si="2361"/>
        <v>0</v>
      </c>
      <c r="BTG45" s="43">
        <f t="shared" si="2362"/>
        <v>0</v>
      </c>
      <c r="BTH45" s="48"/>
      <c r="BTI45" s="49"/>
      <c r="BTJ45" s="49"/>
      <c r="BTK45" s="49"/>
      <c r="BTL45" s="49"/>
      <c r="BTM45" s="49"/>
      <c r="BTN45" s="67">
        <f t="shared" si="2363"/>
        <v>0</v>
      </c>
      <c r="BTO45" s="68">
        <f t="shared" si="2364"/>
        <v>0</v>
      </c>
      <c r="BTP45" s="48"/>
      <c r="BTQ45" s="49"/>
      <c r="BTR45" s="49"/>
      <c r="BTS45" s="49"/>
      <c r="BTT45" s="49"/>
      <c r="BTU45" s="49"/>
      <c r="BTV45" s="67">
        <f t="shared" si="2365"/>
        <v>0</v>
      </c>
      <c r="BTW45" s="43">
        <f t="shared" si="2366"/>
        <v>0</v>
      </c>
      <c r="BTX45" s="48"/>
      <c r="BTY45" s="49"/>
      <c r="BTZ45" s="49"/>
      <c r="BUA45" s="49"/>
      <c r="BUB45" s="49"/>
      <c r="BUC45" s="49"/>
      <c r="BUD45" s="67">
        <f t="shared" si="2367"/>
        <v>0</v>
      </c>
      <c r="BUE45" s="68">
        <f t="shared" si="2368"/>
        <v>0</v>
      </c>
      <c r="BUF45" s="48"/>
      <c r="BUG45" s="49"/>
      <c r="BUH45" s="49"/>
      <c r="BUI45" s="49"/>
      <c r="BUJ45" s="49"/>
      <c r="BUK45" s="49"/>
      <c r="BUL45" s="67">
        <f t="shared" si="2369"/>
        <v>0</v>
      </c>
      <c r="BUM45" s="68">
        <f t="shared" si="2370"/>
        <v>0</v>
      </c>
      <c r="BUN45" s="48"/>
      <c r="BUO45" s="49"/>
      <c r="BUP45" s="49"/>
      <c r="BUQ45" s="49"/>
      <c r="BUR45" s="49"/>
      <c r="BUS45" s="49"/>
      <c r="BUT45" s="67">
        <f t="shared" si="2371"/>
        <v>0</v>
      </c>
      <c r="BUU45" s="68">
        <f t="shared" si="2372"/>
        <v>0</v>
      </c>
      <c r="BUV45" s="48"/>
      <c r="BUW45" s="49"/>
      <c r="BUX45" s="49"/>
      <c r="BUY45" s="49"/>
      <c r="BUZ45" s="49"/>
      <c r="BVA45" s="49"/>
      <c r="BVB45" s="67">
        <f t="shared" si="2373"/>
        <v>0</v>
      </c>
      <c r="BVC45" s="68">
        <f t="shared" si="2374"/>
        <v>0</v>
      </c>
      <c r="BVD45" s="48"/>
      <c r="BVE45" s="49"/>
      <c r="BVF45" s="49"/>
      <c r="BVG45" s="49"/>
      <c r="BVH45" s="49"/>
      <c r="BVI45" s="49"/>
      <c r="BVJ45" s="67">
        <f t="shared" si="2375"/>
        <v>0</v>
      </c>
      <c r="BVK45" s="68">
        <f t="shared" si="2376"/>
        <v>0</v>
      </c>
      <c r="BVL45" s="48"/>
      <c r="BVM45" s="49"/>
      <c r="BVN45" s="49"/>
      <c r="BVO45" s="49"/>
      <c r="BVP45" s="49"/>
      <c r="BVQ45" s="49"/>
      <c r="BVR45" s="67">
        <f t="shared" si="2377"/>
        <v>0</v>
      </c>
      <c r="BVS45" s="68">
        <f t="shared" si="2378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79"/>
        <v>320</v>
      </c>
      <c r="BWA45" s="68">
        <f t="shared" si="2380"/>
        <v>53.333333333333336</v>
      </c>
      <c r="BWB45" s="48"/>
      <c r="BWC45" s="49"/>
      <c r="BWD45" s="49"/>
      <c r="BWE45" s="49"/>
      <c r="BWF45" s="49"/>
      <c r="BWG45" s="49"/>
      <c r="BWH45" s="67">
        <f t="shared" si="2381"/>
        <v>0</v>
      </c>
      <c r="BWI45" s="68">
        <f t="shared" si="2382"/>
        <v>0</v>
      </c>
      <c r="BWJ45" s="48"/>
      <c r="BWK45" s="49"/>
      <c r="BWL45" s="49"/>
      <c r="BWM45" s="49"/>
      <c r="BWN45" s="49"/>
      <c r="BWO45" s="49"/>
      <c r="BWP45" s="67">
        <f t="shared" si="2383"/>
        <v>0</v>
      </c>
      <c r="BWQ45" s="68">
        <f t="shared" si="2384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85"/>
        <v>400</v>
      </c>
      <c r="BWY45" s="68">
        <f t="shared" si="2386"/>
        <v>66.666666666666671</v>
      </c>
      <c r="BWZ45" s="48"/>
      <c r="BXA45" s="49"/>
      <c r="BXB45" s="49"/>
      <c r="BXC45" s="49"/>
      <c r="BXD45" s="49"/>
      <c r="BXE45" s="49"/>
      <c r="BXF45" s="67">
        <f t="shared" si="2387"/>
        <v>0</v>
      </c>
      <c r="BXG45" s="68">
        <f t="shared" si="2388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89"/>
        <v>200</v>
      </c>
      <c r="BXO45" s="68">
        <f t="shared" si="2390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91"/>
        <v>591</v>
      </c>
      <c r="BXW45" s="68">
        <f t="shared" si="1596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92"/>
        <v>200</v>
      </c>
      <c r="BYE45" s="68">
        <f t="shared" si="2393"/>
        <v>33.333333333333336</v>
      </c>
      <c r="BYF45" s="48"/>
      <c r="BYG45" s="49"/>
      <c r="BYH45" s="49"/>
      <c r="BYI45" s="49"/>
      <c r="BYJ45" s="49"/>
      <c r="BYK45" s="49"/>
      <c r="BYL45" s="67">
        <f t="shared" si="2394"/>
        <v>0</v>
      </c>
      <c r="BYM45" s="68">
        <f t="shared" si="2395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96"/>
        <v>319</v>
      </c>
      <c r="BYU45" s="68">
        <f t="shared" si="2397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98"/>
        <v>580</v>
      </c>
      <c r="BZC45" s="68">
        <f t="shared" si="2399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400"/>
        <v>220</v>
      </c>
      <c r="BZK45" s="68">
        <f t="shared" si="2401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402"/>
        <v>180</v>
      </c>
      <c r="BZS45" s="68">
        <f t="shared" si="2403"/>
        <v>30</v>
      </c>
      <c r="BZT45" s="48"/>
      <c r="BZU45" s="49"/>
      <c r="BZV45" s="49"/>
      <c r="BZW45" s="49"/>
      <c r="BZX45" s="49"/>
      <c r="BZY45" s="49"/>
      <c r="BZZ45" s="67">
        <f t="shared" si="2404"/>
        <v>0</v>
      </c>
      <c r="CAA45" s="68">
        <f t="shared" si="2405"/>
        <v>0</v>
      </c>
      <c r="CAB45" s="48"/>
      <c r="CAC45" s="49"/>
      <c r="CAD45" s="49"/>
      <c r="CAE45" s="49"/>
      <c r="CAF45" s="49"/>
      <c r="CAG45" s="49"/>
      <c r="CAH45" s="67">
        <f t="shared" si="2406"/>
        <v>0</v>
      </c>
      <c r="CAI45" s="68">
        <f t="shared" si="2407"/>
        <v>0</v>
      </c>
      <c r="CAJ45" s="48"/>
      <c r="CAK45" s="49"/>
      <c r="CAL45" s="49"/>
      <c r="CAM45" s="49"/>
      <c r="CAN45" s="49"/>
      <c r="CAO45" s="49"/>
      <c r="CAP45" s="67">
        <f t="shared" si="2408"/>
        <v>0</v>
      </c>
      <c r="CAQ45" s="68">
        <f t="shared" si="2409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410"/>
        <v>653</v>
      </c>
      <c r="CAY45" s="68">
        <f t="shared" si="2411"/>
        <v>108.83333333333333</v>
      </c>
      <c r="CAZ45" s="48"/>
      <c r="CBA45" s="49"/>
      <c r="CBB45" s="49"/>
      <c r="CBC45" s="49"/>
      <c r="CBD45" s="49"/>
      <c r="CBE45" s="49"/>
      <c r="CBF45" s="67">
        <f t="shared" si="2412"/>
        <v>0</v>
      </c>
      <c r="CBG45" s="68">
        <f t="shared" si="2413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14"/>
        <v>646</v>
      </c>
      <c r="CBO45" s="68">
        <f t="shared" si="2415"/>
        <v>107.66666666666667</v>
      </c>
      <c r="CBP45" s="48"/>
      <c r="CBQ45" s="49"/>
      <c r="CBR45" s="49"/>
      <c r="CBS45" s="49"/>
      <c r="CBT45" s="49"/>
      <c r="CBU45" s="49"/>
      <c r="CBV45" s="67">
        <f t="shared" si="2416"/>
        <v>0</v>
      </c>
      <c r="CBW45" s="68">
        <f t="shared" si="2417"/>
        <v>0</v>
      </c>
      <c r="CBX45" s="48"/>
      <c r="CBY45" s="49"/>
      <c r="CBZ45" s="49"/>
      <c r="CCA45" s="49"/>
      <c r="CCB45" s="49"/>
      <c r="CCC45" s="49"/>
      <c r="CCD45" s="67">
        <f t="shared" si="2418"/>
        <v>0</v>
      </c>
      <c r="CCE45" s="68">
        <f t="shared" si="2419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20"/>
        <v>300</v>
      </c>
      <c r="CCM45" s="68">
        <f t="shared" si="2421"/>
        <v>50</v>
      </c>
      <c r="CCN45" s="48"/>
      <c r="CCO45" s="49"/>
      <c r="CCP45" s="49"/>
      <c r="CCQ45" s="49"/>
      <c r="CCR45" s="49"/>
      <c r="CCS45" s="49"/>
      <c r="CCT45" s="67">
        <f t="shared" si="2422"/>
        <v>0</v>
      </c>
      <c r="CCU45" s="68">
        <f t="shared" si="2423"/>
        <v>0</v>
      </c>
      <c r="CCV45" s="48"/>
      <c r="CCW45" s="49"/>
      <c r="CCX45" s="49"/>
      <c r="CCY45" s="49"/>
      <c r="CCZ45" s="49"/>
      <c r="CDA45" s="49"/>
      <c r="CDB45" s="67">
        <f t="shared" si="1641"/>
        <v>0</v>
      </c>
      <c r="CDC45" s="68">
        <f t="shared" si="1642"/>
        <v>0</v>
      </c>
      <c r="CDD45" s="48"/>
      <c r="CDE45" s="49"/>
      <c r="CDF45" s="49"/>
      <c r="CDG45" s="49"/>
      <c r="CDH45" s="49"/>
      <c r="CDI45" s="49"/>
      <c r="CDJ45" s="67">
        <f t="shared" si="1643"/>
        <v>0</v>
      </c>
      <c r="CDK45" s="68">
        <f t="shared" si="1644"/>
        <v>0</v>
      </c>
      <c r="CDL45" s="48"/>
      <c r="CDM45" s="49"/>
      <c r="CDN45" s="49"/>
      <c r="CDO45" s="49"/>
      <c r="CDP45" s="49"/>
      <c r="CDQ45" s="49"/>
      <c r="CDR45" s="67">
        <f t="shared" si="1645"/>
        <v>0</v>
      </c>
      <c r="CDS45" s="68">
        <f t="shared" si="1646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47"/>
        <v>400</v>
      </c>
      <c r="CEA45" s="68">
        <f t="shared" si="1648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49"/>
        <v>280</v>
      </c>
      <c r="CEI45" s="68">
        <f t="shared" si="1650"/>
        <v>46.666666666666664</v>
      </c>
      <c r="CEJ45" s="48"/>
      <c r="CEK45" s="49"/>
      <c r="CEL45" s="49"/>
      <c r="CEM45" s="49"/>
      <c r="CEN45" s="49"/>
      <c r="CEO45" s="49"/>
      <c r="CEP45" s="67">
        <f t="shared" si="1651"/>
        <v>0</v>
      </c>
      <c r="CEQ45" s="68">
        <f t="shared" si="1652"/>
        <v>0</v>
      </c>
      <c r="CER45" s="48"/>
      <c r="CES45" s="49"/>
      <c r="CET45" s="49"/>
      <c r="CEU45" s="49"/>
      <c r="CEV45" s="49"/>
      <c r="CEW45" s="49"/>
      <c r="CEX45" s="67">
        <f t="shared" si="1653"/>
        <v>0</v>
      </c>
      <c r="CEY45" s="68">
        <f t="shared" si="1654"/>
        <v>0</v>
      </c>
      <c r="CEZ45" s="48"/>
      <c r="CFA45" s="49"/>
      <c r="CFB45" s="49"/>
      <c r="CFC45" s="49"/>
      <c r="CFD45" s="49"/>
      <c r="CFE45" s="49"/>
      <c r="CFF45" s="67">
        <f t="shared" si="1655"/>
        <v>0</v>
      </c>
      <c r="CFG45" s="68">
        <f t="shared" si="1656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57"/>
        <v>320</v>
      </c>
      <c r="CFO45" s="68">
        <f t="shared" si="1658"/>
        <v>53.333333333333336</v>
      </c>
      <c r="CFP45" s="48"/>
      <c r="CFQ45" s="49"/>
      <c r="CFR45" s="49"/>
      <c r="CFS45" s="49"/>
      <c r="CFT45" s="49"/>
      <c r="CFU45" s="49"/>
      <c r="CFV45" s="67">
        <f t="shared" si="1659"/>
        <v>0</v>
      </c>
      <c r="CFW45" s="68">
        <f t="shared" si="1660"/>
        <v>0</v>
      </c>
      <c r="CFX45" s="48"/>
      <c r="CFY45" s="49"/>
      <c r="CFZ45" s="49"/>
      <c r="CGA45" s="49"/>
      <c r="CGB45" s="49"/>
      <c r="CGC45" s="49"/>
      <c r="CGD45" s="67">
        <f t="shared" si="1661"/>
        <v>0</v>
      </c>
      <c r="CGE45" s="68">
        <f t="shared" si="1662"/>
        <v>0</v>
      </c>
      <c r="CGF45" s="48"/>
      <c r="CGG45" s="49"/>
      <c r="CGH45" s="49"/>
      <c r="CGI45" s="49"/>
      <c r="CGJ45" s="49"/>
      <c r="CGK45" s="49"/>
      <c r="CGL45" s="67">
        <f t="shared" si="1663"/>
        <v>0</v>
      </c>
      <c r="CGM45" s="68">
        <f t="shared" si="1664"/>
        <v>0</v>
      </c>
      <c r="CGN45" s="48"/>
      <c r="CGO45" s="49"/>
      <c r="CGP45" s="49"/>
      <c r="CGQ45" s="49"/>
      <c r="CGR45" s="49"/>
      <c r="CGS45" s="49"/>
      <c r="CGT45" s="67">
        <f t="shared" si="1665"/>
        <v>0</v>
      </c>
      <c r="CGU45" s="68">
        <f t="shared" si="1666"/>
        <v>0</v>
      </c>
      <c r="CGV45" s="48"/>
      <c r="CGW45" s="49"/>
      <c r="CGX45" s="49"/>
      <c r="CGY45" s="49"/>
      <c r="CGZ45" s="49"/>
      <c r="CHA45" s="49"/>
      <c r="CHB45" s="67">
        <f t="shared" si="1667"/>
        <v>0</v>
      </c>
      <c r="CHC45" s="68">
        <f t="shared" si="1668"/>
        <v>0</v>
      </c>
      <c r="CHD45" s="48"/>
      <c r="CHE45" s="49"/>
      <c r="CHF45" s="49"/>
      <c r="CHG45" s="49"/>
      <c r="CHH45" s="49"/>
      <c r="CHI45" s="49"/>
      <c r="CHJ45" s="67">
        <f t="shared" si="1669"/>
        <v>0</v>
      </c>
      <c r="CHK45" s="68">
        <f t="shared" si="1670"/>
        <v>0</v>
      </c>
      <c r="CHL45" s="48"/>
      <c r="CHM45" s="49"/>
      <c r="CHN45" s="49"/>
      <c r="CHO45" s="49"/>
      <c r="CHP45" s="49"/>
      <c r="CHQ45" s="49"/>
      <c r="CHR45" s="67">
        <f t="shared" si="1671"/>
        <v>0</v>
      </c>
      <c r="CHS45" s="68">
        <f t="shared" si="1672"/>
        <v>0</v>
      </c>
      <c r="CHT45" s="48"/>
      <c r="CHU45" s="49"/>
      <c r="CHV45" s="49"/>
      <c r="CHW45" s="49"/>
      <c r="CHX45" s="49"/>
      <c r="CHY45" s="49"/>
      <c r="CHZ45" s="67">
        <f t="shared" si="1673"/>
        <v>0</v>
      </c>
      <c r="CIA45" s="68">
        <f t="shared" si="1674"/>
        <v>0</v>
      </c>
      <c r="CIB45" s="48"/>
      <c r="CIC45" s="49"/>
      <c r="CID45" s="49"/>
      <c r="CIE45" s="49"/>
      <c r="CIF45" s="49"/>
      <c r="CIG45" s="49"/>
      <c r="CIH45" s="67">
        <f t="shared" si="1675"/>
        <v>0</v>
      </c>
      <c r="CII45" s="68">
        <f t="shared" si="1676"/>
        <v>0</v>
      </c>
      <c r="CIJ45" s="48"/>
      <c r="CIK45" s="49"/>
      <c r="CIL45" s="49"/>
      <c r="CIM45" s="49"/>
      <c r="CIN45" s="49"/>
      <c r="CIO45" s="49"/>
      <c r="CIP45" s="67">
        <f t="shared" si="1677"/>
        <v>0</v>
      </c>
      <c r="CIQ45" s="68">
        <f t="shared" si="1678"/>
        <v>0</v>
      </c>
      <c r="CIR45" s="48"/>
      <c r="CIS45" s="49"/>
      <c r="CIT45" s="49"/>
      <c r="CIU45" s="49"/>
      <c r="CIV45" s="49"/>
      <c r="CIW45" s="49"/>
      <c r="CIX45" s="67">
        <f t="shared" si="1679"/>
        <v>0</v>
      </c>
      <c r="CIY45" s="68">
        <f t="shared" si="1680"/>
        <v>0</v>
      </c>
      <c r="CIZ45" s="63"/>
      <c r="CJA45" s="64"/>
      <c r="CJB45" s="64"/>
      <c r="CJC45" s="64"/>
      <c r="CJD45" s="64"/>
      <c r="CJE45" s="64"/>
      <c r="CJF45" s="67">
        <f t="shared" si="1681"/>
        <v>0</v>
      </c>
      <c r="CJG45" s="68">
        <f t="shared" si="1682"/>
        <v>0</v>
      </c>
      <c r="CJH45" s="48"/>
      <c r="CJI45" s="49"/>
      <c r="CJJ45" s="49"/>
      <c r="CJK45" s="49"/>
      <c r="CJL45" s="49"/>
      <c r="CJM45" s="49"/>
      <c r="CJN45" s="67">
        <f t="shared" si="1683"/>
        <v>0</v>
      </c>
      <c r="CJO45" s="184">
        <f t="shared" si="1684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85"/>
        <v>198</v>
      </c>
      <c r="CJW45" s="68">
        <f t="shared" si="1686"/>
        <v>33</v>
      </c>
      <c r="CJX45" s="48"/>
      <c r="CJY45" s="49"/>
      <c r="CJZ45" s="49"/>
      <c r="CKA45" s="49"/>
      <c r="CKB45" s="49"/>
      <c r="CKC45" s="49"/>
      <c r="CKD45" s="67">
        <f t="shared" si="2424"/>
        <v>0</v>
      </c>
      <c r="CKE45" s="68">
        <f t="shared" si="1687"/>
        <v>0</v>
      </c>
      <c r="CKF45" s="48"/>
      <c r="CKG45" s="49"/>
      <c r="CKH45" s="49"/>
      <c r="CKI45" s="49"/>
      <c r="CKJ45" s="49"/>
      <c r="CKK45" s="49"/>
      <c r="CKL45" s="67">
        <f t="shared" si="1688"/>
        <v>0</v>
      </c>
      <c r="CKM45" s="68">
        <f t="shared" si="1689"/>
        <v>0</v>
      </c>
      <c r="CKN45" s="48"/>
      <c r="CKO45" s="49"/>
      <c r="CKP45" s="49"/>
      <c r="CKQ45" s="49"/>
      <c r="CKR45" s="49"/>
      <c r="CKS45" s="47"/>
      <c r="CKT45" s="67">
        <f t="shared" si="1690"/>
        <v>0</v>
      </c>
      <c r="CKU45" s="68">
        <f t="shared" si="1691"/>
        <v>0</v>
      </c>
      <c r="CKV45" s="48"/>
      <c r="CKW45" s="49"/>
      <c r="CKX45" s="49"/>
      <c r="CKY45" s="49"/>
      <c r="CKZ45" s="49"/>
      <c r="CLA45" s="49"/>
      <c r="CLB45" s="67">
        <f t="shared" si="1692"/>
        <v>0</v>
      </c>
      <c r="CLC45" s="68">
        <f t="shared" si="1693"/>
        <v>0</v>
      </c>
      <c r="CLD45" s="48"/>
      <c r="CLE45" s="49"/>
      <c r="CLF45" s="49"/>
      <c r="CLG45" s="49"/>
      <c r="CLH45" s="49"/>
      <c r="CLI45" s="49"/>
      <c r="CLJ45" s="67">
        <f t="shared" si="1694"/>
        <v>0</v>
      </c>
      <c r="CLK45" s="68">
        <f t="shared" si="1695"/>
        <v>0</v>
      </c>
      <c r="CLL45" s="48"/>
      <c r="CLM45" s="49"/>
      <c r="CLN45" s="49"/>
      <c r="CLO45" s="49"/>
      <c r="CLP45" s="49"/>
      <c r="CLQ45" s="49"/>
      <c r="CLR45" s="67">
        <f t="shared" si="1696"/>
        <v>0</v>
      </c>
      <c r="CLS45" s="68">
        <f t="shared" si="1697"/>
        <v>0</v>
      </c>
      <c r="CLT45" s="48"/>
      <c r="CLU45" s="49"/>
      <c r="CLV45" s="49"/>
      <c r="CLW45" s="49"/>
      <c r="CLX45" s="49"/>
      <c r="CLY45" s="49"/>
      <c r="CLZ45" s="67">
        <f t="shared" si="1698"/>
        <v>0</v>
      </c>
      <c r="CMA45" s="68">
        <f t="shared" si="1699"/>
        <v>0</v>
      </c>
      <c r="CMB45" s="48"/>
      <c r="CMC45" s="49"/>
      <c r="CMD45" s="49"/>
      <c r="CME45" s="49"/>
      <c r="CMF45" s="49"/>
      <c r="CMG45" s="49"/>
      <c r="CMH45" s="67">
        <f t="shared" si="1700"/>
        <v>0</v>
      </c>
      <c r="CMI45" s="68">
        <f t="shared" si="1701"/>
        <v>0</v>
      </c>
      <c r="CMJ45" s="48"/>
      <c r="CMK45" s="49"/>
      <c r="CML45" s="49"/>
      <c r="CMM45" s="49"/>
      <c r="CMN45" s="49"/>
      <c r="CMO45" s="49"/>
      <c r="CMP45" s="67">
        <f t="shared" si="1702"/>
        <v>0</v>
      </c>
      <c r="CMQ45" s="68">
        <f t="shared" si="1703"/>
        <v>0</v>
      </c>
      <c r="CMR45" s="48"/>
      <c r="CMS45" s="49"/>
      <c r="CMT45" s="49"/>
      <c r="CMU45" s="49"/>
      <c r="CMV45" s="49"/>
      <c r="CMW45" s="49"/>
      <c r="CMX45" s="67">
        <f t="shared" si="1704"/>
        <v>0</v>
      </c>
      <c r="CMY45" s="68">
        <f t="shared" si="1705"/>
        <v>0</v>
      </c>
      <c r="CMZ45" s="48"/>
      <c r="CNA45" s="49"/>
      <c r="CNB45" s="49"/>
      <c r="CNC45" s="49"/>
      <c r="CND45" s="49"/>
      <c r="CNE45" s="49"/>
      <c r="CNF45" s="67">
        <f t="shared" si="1706"/>
        <v>0</v>
      </c>
      <c r="CNG45" s="68">
        <f t="shared" si="1707"/>
        <v>0</v>
      </c>
      <c r="CNH45" s="48"/>
      <c r="CNI45" s="49"/>
      <c r="CNJ45" s="49"/>
      <c r="CNK45" s="49"/>
      <c r="CNL45" s="49"/>
      <c r="CNM45" s="49"/>
      <c r="CNN45" s="67">
        <f t="shared" si="1708"/>
        <v>0</v>
      </c>
      <c r="CNO45" s="68">
        <f t="shared" si="1709"/>
        <v>0</v>
      </c>
      <c r="CNP45" s="48"/>
      <c r="CNQ45" s="49"/>
      <c r="CNR45" s="49"/>
      <c r="CNS45" s="49"/>
      <c r="CNT45" s="49"/>
      <c r="CNU45" s="49"/>
      <c r="CNV45" s="67">
        <f t="shared" si="1710"/>
        <v>0</v>
      </c>
      <c r="CNW45" s="68">
        <f t="shared" si="1711"/>
        <v>0</v>
      </c>
      <c r="CNX45" s="48"/>
      <c r="CNY45" s="49"/>
      <c r="CNZ45" s="49"/>
      <c r="COA45" s="49"/>
      <c r="COB45" s="49"/>
      <c r="COC45" s="49"/>
      <c r="COD45" s="67">
        <f t="shared" si="1712"/>
        <v>0</v>
      </c>
      <c r="COE45" s="68">
        <f t="shared" si="1713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14"/>
        <v>433</v>
      </c>
      <c r="COM45" s="68">
        <f t="shared" si="1715"/>
        <v>72.166666666666671</v>
      </c>
      <c r="CON45" s="48"/>
      <c r="COO45" s="49"/>
      <c r="COP45" s="49"/>
      <c r="COQ45" s="49"/>
      <c r="COR45" s="49"/>
      <c r="COS45" s="49"/>
      <c r="COT45" s="67">
        <f t="shared" si="1716"/>
        <v>0</v>
      </c>
      <c r="COU45" s="68">
        <f t="shared" si="1717"/>
        <v>0</v>
      </c>
      <c r="COV45" s="48"/>
      <c r="COW45" s="49"/>
      <c r="COX45" s="49"/>
      <c r="COY45" s="49"/>
      <c r="COZ45" s="49"/>
      <c r="CPA45" s="49"/>
      <c r="CPB45" s="67">
        <f t="shared" si="1718"/>
        <v>0</v>
      </c>
      <c r="CPC45" s="68">
        <f t="shared" si="1719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20"/>
        <v>118</v>
      </c>
      <c r="CPK45" s="68">
        <f t="shared" si="1721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22"/>
        <v>0</v>
      </c>
      <c r="CPS45" s="68">
        <f t="shared" si="1723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24"/>
        <v>228</v>
      </c>
      <c r="CQA45" s="68">
        <f t="shared" si="1725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26"/>
        <v>378</v>
      </c>
      <c r="CQI45" s="68">
        <f t="shared" si="1727"/>
        <v>63</v>
      </c>
      <c r="CQJ45" s="82"/>
      <c r="CQK45" s="83"/>
      <c r="CQL45" s="83"/>
      <c r="CQM45" s="83"/>
      <c r="CQN45" s="83"/>
      <c r="CQO45" s="83"/>
      <c r="CQP45" s="67">
        <f t="shared" si="1728"/>
        <v>0</v>
      </c>
      <c r="CQQ45" s="68">
        <f t="shared" si="1729"/>
        <v>0</v>
      </c>
      <c r="CQR45" s="239"/>
      <c r="CQS45" s="1"/>
      <c r="CQT45" s="1"/>
      <c r="CQU45" s="1"/>
      <c r="CQV45" s="1">
        <v>0</v>
      </c>
      <c r="CQW45" s="1"/>
      <c r="CQX45" s="67">
        <f t="shared" si="1730"/>
        <v>0</v>
      </c>
      <c r="CQY45" s="68">
        <f t="shared" si="1731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32"/>
        <v>328</v>
      </c>
      <c r="CRG45" s="68">
        <f t="shared" si="1733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34"/>
        <v>667</v>
      </c>
      <c r="CRO45" s="68">
        <f t="shared" si="1735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36"/>
        <v>0</v>
      </c>
      <c r="CRW45" s="68">
        <f t="shared" si="1737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38"/>
        <v>0</v>
      </c>
      <c r="CSE45" s="68">
        <f t="shared" si="1739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0</v>
      </c>
      <c r="CSL45" s="64">
        <f t="shared" si="1740"/>
        <v>684</v>
      </c>
      <c r="CSM45" s="68">
        <f t="shared" si="1741"/>
        <v>114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42"/>
        <v>0</v>
      </c>
      <c r="CSU45" s="68">
        <f t="shared" si="1743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44"/>
        <v>1098</v>
      </c>
      <c r="CTC45" s="68">
        <f t="shared" si="1745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46"/>
        <v>0</v>
      </c>
      <c r="CTK45" s="68">
        <f t="shared" si="1747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48"/>
        <v>876</v>
      </c>
      <c r="CTS45" s="68">
        <f t="shared" si="1749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50"/>
        <v>1727</v>
      </c>
      <c r="CUA45" s="68">
        <f t="shared" si="1751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52"/>
        <v>2220</v>
      </c>
      <c r="CUI45" s="68">
        <f t="shared" si="1753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54"/>
        <v>3432</v>
      </c>
      <c r="CUQ45" s="68">
        <f t="shared" si="1755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56"/>
        <v>0</v>
      </c>
      <c r="CUY45" s="68">
        <f t="shared" si="1757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58"/>
        <v>2247</v>
      </c>
      <c r="CVG45" s="68">
        <f t="shared" si="1759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60"/>
        <v>588</v>
      </c>
      <c r="CVO45" s="68">
        <f t="shared" si="1761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62"/>
        <v>1601</v>
      </c>
      <c r="CVW45" s="68">
        <f t="shared" si="1763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64"/>
        <v>400</v>
      </c>
      <c r="CWE45" s="68">
        <f t="shared" si="1765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6"/>
        <v>0</v>
      </c>
      <c r="CWM45" s="68">
        <f t="shared" si="1767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68"/>
        <v>499</v>
      </c>
      <c r="CWU45" s="68">
        <f t="shared" si="1769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70"/>
        <v>0</v>
      </c>
      <c r="CXC45" s="43">
        <f t="shared" si="1771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72"/>
        <v>222</v>
      </c>
      <c r="CXK45" s="43">
        <f t="shared" si="1773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74"/>
        <v>0</v>
      </c>
      <c r="CXS45" s="43">
        <f t="shared" si="1775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76"/>
        <v>1178</v>
      </c>
      <c r="CYA45" s="43">
        <f t="shared" si="1777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78"/>
        <v>0</v>
      </c>
      <c r="CYI45" s="43">
        <f t="shared" si="1779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80"/>
        <v>605</v>
      </c>
      <c r="CYQ45" s="43">
        <f t="shared" si="1781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82"/>
        <v>0</v>
      </c>
      <c r="CYY45" s="43">
        <f t="shared" si="1783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84"/>
        <v>0</v>
      </c>
      <c r="CZG45" s="43">
        <f t="shared" si="1785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6"/>
        <v>0</v>
      </c>
      <c r="CZO45" s="43">
        <f t="shared" si="1787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88"/>
        <v>271</v>
      </c>
      <c r="CZW45" s="43">
        <f t="shared" si="1789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90"/>
        <v>200</v>
      </c>
      <c r="DAE45" s="68">
        <f t="shared" si="1791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92"/>
        <v>780</v>
      </c>
      <c r="DAM45" s="68">
        <f t="shared" si="1793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94"/>
        <v>0</v>
      </c>
      <c r="DAU45" s="68">
        <f t="shared" si="1795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6"/>
        <v>0</v>
      </c>
      <c r="DBC45" s="68">
        <f t="shared" si="1797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98"/>
        <v>210</v>
      </c>
      <c r="DBK45" s="68">
        <f t="shared" si="1799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800"/>
        <v>480</v>
      </c>
      <c r="DBS45" s="68">
        <f t="shared" si="1801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802"/>
        <v>221</v>
      </c>
      <c r="DCA45" s="68">
        <f t="shared" si="1803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804"/>
        <v>3657</v>
      </c>
      <c r="DCI45" s="68">
        <f t="shared" si="1805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806"/>
        <v>0</v>
      </c>
      <c r="DCQ45" s="68">
        <f t="shared" si="1807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808"/>
        <v>330</v>
      </c>
      <c r="DCY45" s="68">
        <f t="shared" si="1809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810"/>
        <v>664</v>
      </c>
      <c r="DDG45" s="68">
        <f t="shared" si="1811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12"/>
        <v>1871</v>
      </c>
      <c r="DDO45" s="43">
        <f t="shared" si="1813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14"/>
        <v>994</v>
      </c>
      <c r="DDW45" s="43">
        <f t="shared" si="1815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16"/>
        <v>307</v>
      </c>
      <c r="DEE45" s="43">
        <f t="shared" si="1817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18"/>
        <v>0</v>
      </c>
      <c r="DEM45" s="43">
        <f t="shared" si="1819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20"/>
        <v>660</v>
      </c>
      <c r="DEU45" s="43">
        <f t="shared" si="1821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22"/>
        <v>300</v>
      </c>
      <c r="DFC45" s="43">
        <f t="shared" si="1823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24"/>
        <v>200</v>
      </c>
      <c r="DFK45" s="43">
        <f t="shared" si="1825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26"/>
        <v>1099</v>
      </c>
      <c r="DFS45" s="68">
        <f t="shared" si="1827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28"/>
        <v>428</v>
      </c>
      <c r="DGA45" s="43">
        <f t="shared" si="1829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30"/>
        <v>833</v>
      </c>
      <c r="DGI45" s="43">
        <f t="shared" si="1831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32"/>
        <v>0</v>
      </c>
      <c r="DGQ45" s="68">
        <f t="shared" si="1833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34"/>
        <v>886</v>
      </c>
      <c r="DGY45" s="68">
        <f t="shared" si="1835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36"/>
        <v>600</v>
      </c>
      <c r="DHG45" s="68">
        <f t="shared" si="1837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38"/>
        <v>1400</v>
      </c>
      <c r="DHO45" s="68">
        <f t="shared" si="1839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40"/>
        <v>807</v>
      </c>
      <c r="DHW45" s="68">
        <f t="shared" si="1841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42"/>
        <v>0</v>
      </c>
      <c r="DIE45" s="68">
        <f t="shared" si="1843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44"/>
        <v>1117</v>
      </c>
      <c r="DIM45" s="68">
        <f t="shared" si="1845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6"/>
        <v>0</v>
      </c>
      <c r="DIU45" s="68">
        <f t="shared" si="1847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48"/>
        <v>110</v>
      </c>
      <c r="DJC45" s="68">
        <f t="shared" si="1849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50"/>
        <v>975</v>
      </c>
      <c r="DJK45" s="68">
        <f t="shared" si="1851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52"/>
        <v>0</v>
      </c>
      <c r="DJS45" s="68">
        <f t="shared" si="1853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54"/>
        <v>643</v>
      </c>
      <c r="DKA45" s="68">
        <f t="shared" si="1855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56"/>
        <v>1200</v>
      </c>
      <c r="DKI45" s="68">
        <f t="shared" si="1857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58"/>
        <v>321</v>
      </c>
      <c r="DKQ45" s="68">
        <f t="shared" si="1859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60"/>
        <v>950</v>
      </c>
      <c r="DKY45" s="68">
        <f t="shared" si="1861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62"/>
        <v>1224</v>
      </c>
      <c r="DLG45" s="68">
        <f t="shared" si="1863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64"/>
        <v>1111</v>
      </c>
      <c r="DLO45" s="68">
        <f t="shared" si="1865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6"/>
        <v>479</v>
      </c>
      <c r="DLW45" s="68">
        <f t="shared" si="1867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68"/>
        <v>0</v>
      </c>
      <c r="DME45" s="68">
        <f t="shared" si="1869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70"/>
        <v>320</v>
      </c>
      <c r="DMM45" s="68">
        <f t="shared" si="1871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72"/>
        <v>0</v>
      </c>
      <c r="DMU45" s="68">
        <f t="shared" si="1873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74"/>
        <v>460</v>
      </c>
      <c r="DNC45" s="68">
        <f t="shared" si="1875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76"/>
        <v>468</v>
      </c>
      <c r="DNK45" s="68">
        <f t="shared" si="1877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78"/>
        <v>330</v>
      </c>
      <c r="DNS45" s="68">
        <f t="shared" si="1879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80"/>
        <v>385</v>
      </c>
      <c r="DOA45" s="68">
        <f t="shared" si="1881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82"/>
        <v>0</v>
      </c>
      <c r="DOI45" s="68">
        <f t="shared" si="1883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84"/>
        <v>100</v>
      </c>
      <c r="DOQ45" s="68">
        <f t="shared" si="1885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86"/>
        <v>560</v>
      </c>
      <c r="DOY45" s="68">
        <f t="shared" si="1887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88"/>
        <v>2905</v>
      </c>
      <c r="DPG45" s="68">
        <f t="shared" si="1889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90"/>
        <v>0</v>
      </c>
      <c r="DPO45" s="68">
        <f t="shared" si="1891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92"/>
        <v>501</v>
      </c>
      <c r="DPW45" s="492">
        <f t="shared" si="1893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94"/>
        <v>0</v>
      </c>
      <c r="DQE45" s="492">
        <f t="shared" si="1895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96"/>
        <v>440</v>
      </c>
      <c r="DQM45" s="492">
        <f t="shared" si="1897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98"/>
        <v>0</v>
      </c>
      <c r="DQU45" s="68">
        <f t="shared" si="1899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900"/>
        <v>0</v>
      </c>
      <c r="DRC45" s="492">
        <f t="shared" si="1901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902"/>
        <v>210</v>
      </c>
      <c r="DRK45" s="492">
        <f t="shared" si="1903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99"/>
        <v>0</v>
      </c>
      <c r="DRS45" s="68">
        <f t="shared" si="1600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601"/>
        <v>240</v>
      </c>
      <c r="DSA45" s="68">
        <f t="shared" si="1602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603"/>
        <v>916</v>
      </c>
      <c r="DSI45" s="68">
        <f t="shared" si="1604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605"/>
        <v>399</v>
      </c>
      <c r="DSQ45" s="68">
        <f t="shared" si="1606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607"/>
        <v>923</v>
      </c>
      <c r="DSY45" s="68">
        <f t="shared" si="1608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609"/>
        <v>0</v>
      </c>
      <c r="DTG45" s="68">
        <f t="shared" si="1610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11"/>
        <v>0</v>
      </c>
      <c r="DTO45" s="68">
        <f t="shared" si="1612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13"/>
        <v>0</v>
      </c>
      <c r="DTW45" s="68">
        <f t="shared" si="1614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15"/>
        <v>400</v>
      </c>
      <c r="DUE45" s="68">
        <f t="shared" si="1616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17"/>
        <v>1501</v>
      </c>
      <c r="DUM45" s="68">
        <f t="shared" si="1618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19"/>
        <v>560</v>
      </c>
      <c r="DUU45" s="68">
        <f t="shared" si="1620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21"/>
        <v>840</v>
      </c>
      <c r="DVC45" s="68">
        <f t="shared" si="1622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23"/>
        <v>2635</v>
      </c>
      <c r="DVK45" s="68">
        <f t="shared" si="1624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25"/>
        <v>1826</v>
      </c>
      <c r="DVS45" s="68">
        <f t="shared" si="1626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7"/>
        <v>0</v>
      </c>
      <c r="DWA45" s="68">
        <f t="shared" si="1628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29"/>
        <v>2968</v>
      </c>
      <c r="DWI45" s="68">
        <f t="shared" si="1630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31"/>
        <v>1658</v>
      </c>
      <c r="DWQ45" s="68">
        <f t="shared" si="1632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33"/>
        <v>1498</v>
      </c>
      <c r="DWY45" s="68">
        <f t="shared" si="1634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35"/>
        <v>1598</v>
      </c>
      <c r="DXG45" s="68">
        <f t="shared" si="1636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37"/>
        <v>2701</v>
      </c>
      <c r="DXO45" s="68">
        <f t="shared" si="1638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8"/>
        <v>1597</v>
      </c>
      <c r="DXW45" s="68">
        <f t="shared" si="1329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30"/>
        <v>982</v>
      </c>
      <c r="DYE45" s="68">
        <f t="shared" si="1331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32"/>
        <v>1671</v>
      </c>
      <c r="DYM45" s="68">
        <f t="shared" si="1333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4"/>
        <v>810</v>
      </c>
      <c r="DYU45" s="68">
        <f t="shared" si="1335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36"/>
        <v>1308</v>
      </c>
      <c r="DZC45" s="68">
        <f t="shared" si="1337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8"/>
        <v>1007</v>
      </c>
      <c r="DZK45" s="68">
        <f t="shared" si="1339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40"/>
        <v>2613</v>
      </c>
      <c r="DZS45" s="68">
        <f t="shared" si="1341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42"/>
        <v>899</v>
      </c>
      <c r="EAA45" s="68">
        <f t="shared" si="1343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44"/>
        <v>1101</v>
      </c>
      <c r="EAI45" s="68">
        <f t="shared" si="1345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46"/>
        <v>901</v>
      </c>
      <c r="EAQ45" s="68">
        <f t="shared" si="1347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8"/>
        <v>1693</v>
      </c>
      <c r="EAY45" s="68">
        <f t="shared" si="1349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50"/>
        <v>4404</v>
      </c>
      <c r="EBG45" s="68">
        <f t="shared" si="1351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52"/>
        <v>2661</v>
      </c>
      <c r="EBO45" s="68">
        <f t="shared" si="1353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54"/>
        <v>1926</v>
      </c>
      <c r="EBW45" s="68">
        <f t="shared" si="1355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56"/>
        <v>3593</v>
      </c>
      <c r="ECE45" s="68">
        <f t="shared" si="1357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8"/>
        <v>1330</v>
      </c>
      <c r="ECM45" s="68">
        <f t="shared" si="1359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60"/>
        <v>3619</v>
      </c>
      <c r="ECU45" s="68">
        <f t="shared" si="1361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62"/>
        <v>1843</v>
      </c>
      <c r="EDC45" s="68">
        <f t="shared" si="1363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64"/>
        <v>599</v>
      </c>
      <c r="EDK45" s="68">
        <f t="shared" si="1365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66"/>
        <v>2745</v>
      </c>
      <c r="EDS45" s="68">
        <f t="shared" si="1367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8"/>
        <v>1148</v>
      </c>
      <c r="EEA45" s="68">
        <f t="shared" si="1369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70"/>
        <v>1115</v>
      </c>
      <c r="EEI45" s="68">
        <f t="shared" si="1371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72"/>
        <v>2082</v>
      </c>
      <c r="EEQ45" s="68">
        <f t="shared" si="1373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74"/>
        <v>5289</v>
      </c>
      <c r="EEY45" s="68">
        <f t="shared" si="1375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76"/>
        <v>612</v>
      </c>
      <c r="EFG45" s="68">
        <f t="shared" si="1377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8"/>
        <v>7208</v>
      </c>
      <c r="EFO45" s="68">
        <f t="shared" si="1379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80"/>
        <v>2900</v>
      </c>
      <c r="EFW45" s="68">
        <f t="shared" si="1381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82"/>
        <v>1411</v>
      </c>
      <c r="EGE45" s="68">
        <f t="shared" si="1383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84"/>
        <v>0</v>
      </c>
      <c r="EGM45" s="68">
        <f t="shared" si="1385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86"/>
        <v>1000</v>
      </c>
      <c r="EGU45" s="68">
        <f t="shared" si="1387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8"/>
        <v>1251</v>
      </c>
      <c r="EHC45" s="68">
        <f t="shared" si="1389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90"/>
        <v>2000</v>
      </c>
      <c r="EHK45" s="68">
        <f t="shared" si="1391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92"/>
        <v>4038</v>
      </c>
      <c r="EHS45" s="68">
        <f t="shared" si="1393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94"/>
        <v>2159</v>
      </c>
      <c r="EIA45" s="68">
        <f t="shared" si="1395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96"/>
        <v>2646</v>
      </c>
      <c r="EII45" s="68">
        <f t="shared" si="1397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8"/>
        <v>2857</v>
      </c>
      <c r="EIQ45" s="68">
        <f t="shared" si="1399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400"/>
        <v>972</v>
      </c>
      <c r="EIY45" s="68">
        <f t="shared" si="1401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402"/>
        <v>2048</v>
      </c>
      <c r="EJG45" s="68">
        <f t="shared" si="1403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404"/>
        <v>1200</v>
      </c>
      <c r="EJO45" s="68">
        <f t="shared" si="1405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406"/>
        <v>2285</v>
      </c>
      <c r="EJW45" s="68">
        <f t="shared" si="1407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8"/>
        <v>2192</v>
      </c>
      <c r="EKE45" s="68">
        <f t="shared" si="1409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10"/>
        <v>0</v>
      </c>
      <c r="EKM45" s="68">
        <f t="shared" si="1411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12"/>
        <v>1787</v>
      </c>
      <c r="EKU45" s="184">
        <f t="shared" si="1413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14"/>
        <v>1720</v>
      </c>
      <c r="ELD45" s="211">
        <f t="shared" si="1415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16"/>
        <v>1977</v>
      </c>
      <c r="ELL45" s="211">
        <f t="shared" si="1417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8"/>
        <v>5406</v>
      </c>
      <c r="ELT45" s="211">
        <f t="shared" si="1419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20"/>
        <v>1797</v>
      </c>
      <c r="EMB45" s="211">
        <f t="shared" si="1421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22"/>
        <v>0</v>
      </c>
      <c r="EMJ45" s="211">
        <f t="shared" si="1423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24"/>
        <v>3236</v>
      </c>
      <c r="EMR45" s="211">
        <f t="shared" si="1425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26"/>
        <v>1479</v>
      </c>
      <c r="EMZ45" s="211">
        <f t="shared" si="1427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8"/>
        <v>498</v>
      </c>
      <c r="ENH45" s="211">
        <f t="shared" si="1429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30"/>
        <v>1019</v>
      </c>
      <c r="ENP45" s="211">
        <f t="shared" si="1431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32"/>
        <v>2346</v>
      </c>
      <c r="ENX45" s="211">
        <f t="shared" si="1433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34"/>
        <v>1696</v>
      </c>
      <c r="EOF45" s="211">
        <f t="shared" si="1435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36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37"/>
        <v>1287</v>
      </c>
      <c r="EOV45" s="211">
        <f t="shared" si="1438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9"/>
        <v>0</v>
      </c>
      <c r="EPD45" s="211">
        <f t="shared" si="1440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41"/>
        <v>0</v>
      </c>
      <c r="EPL45" s="211">
        <f t="shared" si="1442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43"/>
        <v>2276</v>
      </c>
      <c r="EPT45" s="211">
        <f t="shared" si="1444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0</v>
      </c>
      <c r="EPZ45" s="49">
        <v>0</v>
      </c>
      <c r="EQA45" s="64">
        <f t="shared" si="1445"/>
        <v>898</v>
      </c>
      <c r="EQB45" s="211">
        <f t="shared" si="1446"/>
        <v>149.66666666666666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7"/>
        <v>0</v>
      </c>
      <c r="EQJ45" s="211">
        <f t="shared" si="1448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9"/>
        <v>1787</v>
      </c>
      <c r="EQR45" s="211">
        <f t="shared" si="1450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51"/>
        <v>2565</v>
      </c>
      <c r="EQZ45" s="211">
        <f t="shared" si="1452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53"/>
        <v>900</v>
      </c>
      <c r="ERH45" s="211">
        <f t="shared" si="1454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55"/>
        <v>1112</v>
      </c>
      <c r="ERP45" s="211">
        <f t="shared" si="1456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57"/>
        <v>2436</v>
      </c>
      <c r="ERX45" s="211">
        <f t="shared" si="1458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9"/>
        <v>900</v>
      </c>
      <c r="ESF45" s="211">
        <f t="shared" si="1460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61"/>
        <v>1412</v>
      </c>
      <c r="ESN45" s="211">
        <f t="shared" si="1462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63"/>
        <v>1941</v>
      </c>
      <c r="ESV45" s="211">
        <f t="shared" si="1464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65"/>
        <v>2326</v>
      </c>
      <c r="ETD45" s="211">
        <f t="shared" si="1466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67"/>
        <v>2774</v>
      </c>
      <c r="ETL45" s="211">
        <f t="shared" si="1468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9"/>
        <v>2947</v>
      </c>
      <c r="ETT45" s="211">
        <f t="shared" si="1470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71"/>
        <v>2305</v>
      </c>
      <c r="EUB45" s="211">
        <f t="shared" si="1472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73"/>
        <v>1342</v>
      </c>
      <c r="EUJ45" s="211">
        <f t="shared" si="1474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75"/>
        <v>2102</v>
      </c>
      <c r="EUR45" s="211">
        <f t="shared" si="1476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77"/>
        <v>3643</v>
      </c>
      <c r="EUZ45" s="211">
        <f t="shared" si="1478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9"/>
        <v>647</v>
      </c>
      <c r="EVH45" s="211">
        <f t="shared" si="1480"/>
        <v>107.83333333333333</v>
      </c>
      <c r="EVI45" s="195">
        <v>1000</v>
      </c>
      <c r="EVJ45" s="49">
        <v>0</v>
      </c>
      <c r="EVK45" s="49">
        <f>SUMIF(SUMPK!$B:$B,$B:$B,SUMPK!$O:$O)</f>
        <v>0</v>
      </c>
      <c r="EVL45" s="49"/>
      <c r="EVM45" s="49"/>
      <c r="EVN45" s="49">
        <v>0</v>
      </c>
      <c r="EVO45" s="808">
        <f t="shared" si="1481"/>
        <v>1000</v>
      </c>
      <c r="EVP45" s="211">
        <f t="shared" si="1482"/>
        <v>166.66666666666666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83"/>
        <v>3421</v>
      </c>
      <c r="EVX45" s="211">
        <f t="shared" si="1484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85"/>
        <v>0</v>
      </c>
      <c r="EWF45" s="211">
        <f t="shared" si="1486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87"/>
        <v>1595</v>
      </c>
      <c r="EWN45" s="211">
        <f t="shared" si="1488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9"/>
        <v>0</v>
      </c>
      <c r="EWV45" s="211">
        <f t="shared" si="1490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91"/>
        <v>959</v>
      </c>
      <c r="EXD45" s="211">
        <f t="shared" si="1492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93"/>
        <v>2196</v>
      </c>
      <c r="EXL45" s="211">
        <f t="shared" si="1494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95"/>
        <v>3409</v>
      </c>
      <c r="EXT45" s="211">
        <f t="shared" si="1496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97"/>
        <v>3348</v>
      </c>
      <c r="EYB45" s="211">
        <f t="shared" si="1498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9"/>
        <v>2794</v>
      </c>
      <c r="EYJ45" s="211">
        <f t="shared" si="1500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501"/>
        <v>3322</v>
      </c>
      <c r="EYR45" s="211">
        <f t="shared" si="1502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503"/>
        <v>827</v>
      </c>
      <c r="EYZ45" s="873">
        <f t="shared" si="1504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505"/>
        <v>1217</v>
      </c>
      <c r="EZH45" s="873">
        <f t="shared" si="1506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>
        <v>1339</v>
      </c>
      <c r="EZO45" s="872">
        <f t="shared" si="1507"/>
        <v>4019</v>
      </c>
      <c r="EZP45" s="873">
        <f t="shared" si="1508"/>
        <v>669.83333333333337</v>
      </c>
      <c r="EZQ45" s="458">
        <v>0</v>
      </c>
      <c r="EZR45" s="83"/>
      <c r="EZS45" s="83">
        <v>1561</v>
      </c>
      <c r="EZT45" s="83">
        <v>0</v>
      </c>
      <c r="EZU45" s="83">
        <v>1647</v>
      </c>
      <c r="EZV45" s="83">
        <v>0</v>
      </c>
      <c r="EZW45" s="872">
        <f t="shared" si="1509"/>
        <v>3208</v>
      </c>
      <c r="EZX45" s="873">
        <f t="shared" si="1510"/>
        <v>534.66666666666663</v>
      </c>
      <c r="EZY45" s="195">
        <v>623</v>
      </c>
      <c r="EZZ45" s="49">
        <v>70</v>
      </c>
      <c r="FAA45" s="49"/>
      <c r="FAB45" s="49"/>
      <c r="FAC45" s="49"/>
      <c r="FAD45" s="49"/>
      <c r="FAE45" s="872">
        <f t="shared" si="1511"/>
        <v>693</v>
      </c>
      <c r="FAF45" s="873">
        <f t="shared" si="1512"/>
        <v>115.5</v>
      </c>
    </row>
    <row r="46" spans="1:4088" s="8" customFormat="1" ht="13.5" thickBot="1" x14ac:dyDescent="0.25">
      <c r="A46" s="21">
        <v>17</v>
      </c>
      <c r="B46" s="297" t="s">
        <v>196</v>
      </c>
      <c r="C46" s="730" t="s">
        <v>308</v>
      </c>
      <c r="D46" s="297">
        <v>25</v>
      </c>
      <c r="E46" s="24"/>
      <c r="F46" s="24">
        <v>6330</v>
      </c>
      <c r="G46" s="24"/>
      <c r="H46" s="24"/>
      <c r="I46" s="24"/>
      <c r="J46" s="360">
        <f>SUMIF(SUMPK!$B:$B,$B:$B,SUMPK!$O:$O)</f>
        <v>0</v>
      </c>
      <c r="K46" s="24">
        <f t="shared" si="1226"/>
        <v>0</v>
      </c>
      <c r="L46" s="24">
        <f t="shared" si="1517"/>
        <v>6330</v>
      </c>
      <c r="M46" s="15">
        <f t="shared" si="1639"/>
        <v>6330</v>
      </c>
      <c r="N46" s="15">
        <v>381.66666666666669</v>
      </c>
      <c r="O46" s="276">
        <f t="shared" si="1229"/>
        <v>16.585152838427948</v>
      </c>
      <c r="P46" s="712">
        <v>544.16666666666663</v>
      </c>
      <c r="Q46" s="276">
        <f t="shared" si="1518"/>
        <v>69.794793261868307</v>
      </c>
      <c r="R46" s="277">
        <f t="shared" si="1519"/>
        <v>0</v>
      </c>
      <c r="S46" s="222"/>
      <c r="T46" s="276">
        <f t="shared" si="1640"/>
        <v>0</v>
      </c>
      <c r="U46" s="278"/>
      <c r="V46" s="276">
        <f t="shared" si="1233"/>
        <v>0</v>
      </c>
      <c r="W46" s="279">
        <f t="shared" si="1234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22"/>
        <v>0</v>
      </c>
      <c r="DFC46" s="43">
        <f t="shared" si="1823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24"/>
        <v>0</v>
      </c>
      <c r="DFK46" s="43">
        <f t="shared" si="1825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26"/>
        <v>0</v>
      </c>
      <c r="DFS46" s="68">
        <f t="shared" si="1827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28"/>
        <v>0</v>
      </c>
      <c r="DGA46" s="43">
        <f t="shared" si="1829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30"/>
        <v>0</v>
      </c>
      <c r="DGI46" s="43">
        <f t="shared" si="1831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32"/>
        <v>0</v>
      </c>
      <c r="DGQ46" s="68">
        <f t="shared" si="1833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34"/>
        <v>0</v>
      </c>
      <c r="DGY46" s="68">
        <f t="shared" si="1835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36"/>
        <v>0</v>
      </c>
      <c r="DHG46" s="68">
        <f t="shared" si="1837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38"/>
        <v>0</v>
      </c>
      <c r="DHO46" s="68">
        <f t="shared" si="1839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40"/>
        <v>0</v>
      </c>
      <c r="DHW46" s="68">
        <f t="shared" si="1841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42"/>
        <v>0</v>
      </c>
      <c r="DIE46" s="68">
        <f t="shared" si="1843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44"/>
        <v>0</v>
      </c>
      <c r="DIM46" s="68">
        <f t="shared" si="1845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6"/>
        <v>0</v>
      </c>
      <c r="DIU46" s="68">
        <f t="shared" si="1847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48"/>
        <v>200</v>
      </c>
      <c r="DJC46" s="68">
        <f t="shared" si="1849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50"/>
        <v>219</v>
      </c>
      <c r="DJK46" s="68">
        <f t="shared" si="1851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52"/>
        <v>324</v>
      </c>
      <c r="DJS46" s="68">
        <f t="shared" si="1853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54"/>
        <v>0</v>
      </c>
      <c r="DKA46" s="68">
        <f t="shared" si="1855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56"/>
        <v>0</v>
      </c>
      <c r="DKI46" s="68">
        <f t="shared" si="1857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58"/>
        <v>0</v>
      </c>
      <c r="DKQ46" s="68">
        <f t="shared" si="1859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60"/>
        <v>0</v>
      </c>
      <c r="DKY46" s="68">
        <f t="shared" si="1861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62"/>
        <v>0</v>
      </c>
      <c r="DLG46" s="68">
        <f t="shared" si="1863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64"/>
        <v>0</v>
      </c>
      <c r="DLO46" s="68">
        <f t="shared" si="1865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66"/>
        <v>0</v>
      </c>
      <c r="DLW46" s="68">
        <f t="shared" si="1867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68"/>
        <v>0</v>
      </c>
      <c r="DME46" s="68">
        <f t="shared" si="1869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70"/>
        <v>0</v>
      </c>
      <c r="DMM46" s="68">
        <f t="shared" si="1871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72"/>
        <v>0</v>
      </c>
      <c r="DMU46" s="68">
        <f t="shared" si="1873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74"/>
        <v>0</v>
      </c>
      <c r="DNC46" s="68">
        <f t="shared" si="1875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76"/>
        <v>0</v>
      </c>
      <c r="DNK46" s="68">
        <f t="shared" si="1877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78"/>
        <v>0</v>
      </c>
      <c r="DNS46" s="68">
        <f t="shared" si="1879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80"/>
        <v>0</v>
      </c>
      <c r="DOA46" s="68">
        <f t="shared" si="1881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82"/>
        <v>0</v>
      </c>
      <c r="DOI46" s="68">
        <f t="shared" si="1883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84"/>
        <v>0</v>
      </c>
      <c r="DOQ46" s="68">
        <f t="shared" si="1885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86"/>
        <v>0</v>
      </c>
      <c r="DOY46" s="68">
        <f t="shared" si="1887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88"/>
        <v>0</v>
      </c>
      <c r="DPG46" s="68">
        <f t="shared" si="1889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90"/>
        <v>0</v>
      </c>
      <c r="DPO46" s="68">
        <f t="shared" si="1891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92"/>
        <v>0</v>
      </c>
      <c r="DPW46" s="492">
        <f t="shared" si="1893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94"/>
        <v>0</v>
      </c>
      <c r="DQE46" s="492">
        <f t="shared" si="1895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96"/>
        <v>0</v>
      </c>
      <c r="DQM46" s="492">
        <f t="shared" si="1897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98"/>
        <v>0</v>
      </c>
      <c r="DQU46" s="68">
        <f t="shared" si="1899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900"/>
        <v>0</v>
      </c>
      <c r="DRC46" s="492">
        <f t="shared" si="1901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902"/>
        <v>0</v>
      </c>
      <c r="DRK46" s="492">
        <f t="shared" si="1903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99"/>
        <v>0</v>
      </c>
      <c r="DRS46" s="68">
        <f t="shared" si="1600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601"/>
        <v>0</v>
      </c>
      <c r="DSA46" s="68">
        <f t="shared" si="1602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603"/>
        <v>0</v>
      </c>
      <c r="DSI46" s="68">
        <f t="shared" si="1604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605"/>
        <v>0</v>
      </c>
      <c r="DSQ46" s="68">
        <f t="shared" si="1606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607"/>
        <v>0</v>
      </c>
      <c r="DSY46" s="68">
        <f t="shared" si="1608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09"/>
        <v>0</v>
      </c>
      <c r="DTG46" s="68">
        <f t="shared" si="1610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611"/>
        <v>0</v>
      </c>
      <c r="DTO46" s="68">
        <f t="shared" si="1612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13"/>
        <v>0</v>
      </c>
      <c r="DTW46" s="68">
        <f t="shared" si="1614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15"/>
        <v>0</v>
      </c>
      <c r="DUE46" s="68">
        <f t="shared" si="1616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17"/>
        <v>0</v>
      </c>
      <c r="DUM46" s="68">
        <f t="shared" si="1618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19"/>
        <v>0</v>
      </c>
      <c r="DUU46" s="68">
        <f t="shared" si="1620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21"/>
        <v>0</v>
      </c>
      <c r="DVC46" s="68">
        <f t="shared" si="1622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23"/>
        <v>0</v>
      </c>
      <c r="DVK46" s="68">
        <f t="shared" si="1624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25"/>
        <v>2977</v>
      </c>
      <c r="DVS46" s="68">
        <f t="shared" si="1626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27"/>
        <v>705</v>
      </c>
      <c r="DWA46" s="68">
        <f t="shared" si="1628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29"/>
        <v>2354</v>
      </c>
      <c r="DWI46" s="68">
        <f t="shared" si="1630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31"/>
        <v>1118</v>
      </c>
      <c r="DWQ46" s="68">
        <f t="shared" si="1632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33"/>
        <v>3265</v>
      </c>
      <c r="DWY46" s="68">
        <f t="shared" si="1634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35"/>
        <v>2975</v>
      </c>
      <c r="DXG46" s="68">
        <f t="shared" si="1636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37"/>
        <v>1960</v>
      </c>
      <c r="DXO46" s="68">
        <f t="shared" si="1638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8"/>
        <v>2120</v>
      </c>
      <c r="DXW46" s="68">
        <f t="shared" si="1329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30"/>
        <v>4339</v>
      </c>
      <c r="DYE46" s="68">
        <f t="shared" si="1331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32"/>
        <v>2452</v>
      </c>
      <c r="DYM46" s="68">
        <f t="shared" si="1333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4"/>
        <v>0</v>
      </c>
      <c r="DYU46" s="68">
        <f t="shared" si="1335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36"/>
        <v>3664</v>
      </c>
      <c r="DZC46" s="68">
        <f t="shared" si="1337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8"/>
        <v>0</v>
      </c>
      <c r="DZK46" s="68">
        <f t="shared" si="1339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40"/>
        <v>558</v>
      </c>
      <c r="DZS46" s="68">
        <f t="shared" si="1341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42"/>
        <v>990</v>
      </c>
      <c r="EAA46" s="68">
        <f t="shared" si="1343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44"/>
        <v>0</v>
      </c>
      <c r="EAI46" s="68">
        <f t="shared" si="1345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46"/>
        <v>400</v>
      </c>
      <c r="EAQ46" s="68">
        <f t="shared" si="1347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8"/>
        <v>400</v>
      </c>
      <c r="EAY46" s="68">
        <f t="shared" si="1349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50"/>
        <v>0</v>
      </c>
      <c r="EBG46" s="68">
        <f t="shared" si="1351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52"/>
        <v>0</v>
      </c>
      <c r="EBO46" s="68">
        <f t="shared" si="1353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54"/>
        <v>0</v>
      </c>
      <c r="EBW46" s="68">
        <f t="shared" si="1355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56"/>
        <v>0</v>
      </c>
      <c r="ECE46" s="68">
        <f t="shared" si="1357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8"/>
        <v>0</v>
      </c>
      <c r="ECM46" s="68">
        <f t="shared" si="1359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60"/>
        <v>0</v>
      </c>
      <c r="ECU46" s="68">
        <f t="shared" si="1361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62"/>
        <v>0</v>
      </c>
      <c r="EDC46" s="68">
        <f t="shared" si="1363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64"/>
        <v>0</v>
      </c>
      <c r="EDK46" s="68">
        <f t="shared" si="1365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66"/>
        <v>0</v>
      </c>
      <c r="EDS46" s="68">
        <f t="shared" si="1367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8"/>
        <v>0</v>
      </c>
      <c r="EEA46" s="68">
        <f t="shared" si="1369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70"/>
        <v>0</v>
      </c>
      <c r="EEI46" s="68">
        <f t="shared" si="1371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72"/>
        <v>0</v>
      </c>
      <c r="EEQ46" s="68">
        <f t="shared" si="1373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74"/>
        <v>0</v>
      </c>
      <c r="EEY46" s="68">
        <f t="shared" si="1375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76"/>
        <v>0</v>
      </c>
      <c r="EFG46" s="68">
        <f t="shared" si="1377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8"/>
        <v>0</v>
      </c>
      <c r="EFO46" s="68">
        <f t="shared" si="1379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80"/>
        <v>0</v>
      </c>
      <c r="EFW46" s="68">
        <f t="shared" si="1381"/>
        <v>0</v>
      </c>
      <c r="EFX46" s="48"/>
      <c r="EFY46" s="49"/>
      <c r="EFZ46" s="49"/>
      <c r="EGA46" s="49"/>
      <c r="EGB46" s="49"/>
      <c r="EGC46" s="49"/>
      <c r="EGD46" s="64">
        <f t="shared" si="1382"/>
        <v>0</v>
      </c>
      <c r="EGE46" s="68">
        <f t="shared" si="1383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84"/>
        <v>1405</v>
      </c>
      <c r="EGM46" s="68">
        <f t="shared" si="1385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86"/>
        <v>1372</v>
      </c>
      <c r="EGU46" s="68">
        <f t="shared" si="1387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8"/>
        <v>644</v>
      </c>
      <c r="EHC46" s="68">
        <f t="shared" si="1389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90"/>
        <v>2249</v>
      </c>
      <c r="EHK46" s="68">
        <f t="shared" si="1391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92"/>
        <v>1350</v>
      </c>
      <c r="EHS46" s="68">
        <f t="shared" si="1393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94"/>
        <v>2019</v>
      </c>
      <c r="EIA46" s="68">
        <f t="shared" si="1395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96"/>
        <v>0</v>
      </c>
      <c r="EII46" s="68">
        <f t="shared" si="1397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8"/>
        <v>2113</v>
      </c>
      <c r="EIQ46" s="68">
        <f t="shared" si="1399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400"/>
        <v>1584</v>
      </c>
      <c r="EIY46" s="68">
        <f t="shared" si="1401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402"/>
        <v>4267</v>
      </c>
      <c r="EJG46" s="68">
        <f t="shared" si="1403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404"/>
        <v>1902</v>
      </c>
      <c r="EJO46" s="68">
        <f t="shared" si="1405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406"/>
        <v>7726</v>
      </c>
      <c r="EJW46" s="68">
        <f t="shared" si="1407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8"/>
        <v>0</v>
      </c>
      <c r="EKE46" s="68">
        <f t="shared" si="1409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10"/>
        <v>2327</v>
      </c>
      <c r="EKM46" s="68">
        <f t="shared" si="1411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12"/>
        <v>2359</v>
      </c>
      <c r="EKU46" s="184">
        <f t="shared" si="1413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14"/>
        <v>3256</v>
      </c>
      <c r="ELD46" s="211">
        <f t="shared" si="1415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16"/>
        <v>0</v>
      </c>
      <c r="ELL46" s="211">
        <f t="shared" si="1417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8"/>
        <v>2054</v>
      </c>
      <c r="ELT46" s="211">
        <f t="shared" si="1419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20"/>
        <v>5055</v>
      </c>
      <c r="EMB46" s="211">
        <f t="shared" si="1421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22"/>
        <v>762</v>
      </c>
      <c r="EMJ46" s="211">
        <f t="shared" si="1423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24"/>
        <v>2374</v>
      </c>
      <c r="EMR46" s="211">
        <f t="shared" si="1425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26"/>
        <v>3912</v>
      </c>
      <c r="EMZ46" s="211">
        <f t="shared" si="1427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8"/>
        <v>4730</v>
      </c>
      <c r="ENH46" s="211">
        <f t="shared" si="1429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30"/>
        <v>1299</v>
      </c>
      <c r="ENP46" s="211">
        <f t="shared" si="1431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32"/>
        <v>3996</v>
      </c>
      <c r="ENX46" s="211">
        <f t="shared" si="1433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34"/>
        <v>3007</v>
      </c>
      <c r="EOF46" s="211">
        <f t="shared" si="1435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36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37"/>
        <v>5172</v>
      </c>
      <c r="EOV46" s="211">
        <f t="shared" si="1438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9"/>
        <v>5360</v>
      </c>
      <c r="EPD46" s="211">
        <f t="shared" si="1440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41"/>
        <v>1249</v>
      </c>
      <c r="EPL46" s="211">
        <f t="shared" si="1442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43"/>
        <v>4343</v>
      </c>
      <c r="EPT46" s="211">
        <f t="shared" si="1444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45"/>
        <v>3622</v>
      </c>
      <c r="EQB46" s="211">
        <f t="shared" si="1446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47"/>
        <v>5162</v>
      </c>
      <c r="EQJ46" s="211">
        <f t="shared" si="1448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9"/>
        <v>4319</v>
      </c>
      <c r="EQR46" s="211">
        <f t="shared" si="1450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51"/>
        <v>1801</v>
      </c>
      <c r="EQZ46" s="211">
        <f t="shared" si="1452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53"/>
        <v>3347</v>
      </c>
      <c r="ERH46" s="211">
        <f t="shared" si="1454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55"/>
        <v>6869</v>
      </c>
      <c r="ERP46" s="211">
        <f t="shared" si="1456"/>
        <v>1144.8333333333333</v>
      </c>
      <c r="ERQ46" s="195"/>
      <c r="ERR46" s="49"/>
      <c r="ERS46" s="49"/>
      <c r="ERT46" s="49"/>
      <c r="ERU46" s="49"/>
      <c r="ERV46" s="49"/>
      <c r="ERW46" s="64">
        <f t="shared" si="1457"/>
        <v>0</v>
      </c>
      <c r="ERX46" s="211">
        <f t="shared" si="1458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9"/>
        <v>3413</v>
      </c>
      <c r="ESF46" s="211">
        <f t="shared" si="1460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61"/>
        <v>1150</v>
      </c>
      <c r="ESN46" s="211">
        <f t="shared" si="1462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63"/>
        <v>5730</v>
      </c>
      <c r="ESV46" s="211">
        <f t="shared" si="1464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65"/>
        <v>0</v>
      </c>
      <c r="ETD46" s="211">
        <f t="shared" si="1466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67"/>
        <v>6827</v>
      </c>
      <c r="ETL46" s="211">
        <f t="shared" si="1468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9"/>
        <v>0</v>
      </c>
      <c r="ETT46" s="211">
        <f t="shared" si="1470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71"/>
        <v>3086</v>
      </c>
      <c r="EUB46" s="211">
        <f t="shared" si="1472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73"/>
        <v>3957</v>
      </c>
      <c r="EUJ46" s="211">
        <f t="shared" si="1474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75"/>
        <v>3873</v>
      </c>
      <c r="EUR46" s="211">
        <f t="shared" si="1476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77"/>
        <v>6586</v>
      </c>
      <c r="EUZ46" s="211">
        <f t="shared" si="1478"/>
        <v>1097.6666666666667</v>
      </c>
      <c r="EVA46" s="195"/>
      <c r="EVB46" s="49"/>
      <c r="EVC46" s="49"/>
      <c r="EVD46" s="49"/>
      <c r="EVE46" s="49"/>
      <c r="EVF46" s="49"/>
      <c r="EVG46" s="808">
        <f t="shared" si="1479"/>
        <v>0</v>
      </c>
      <c r="EVH46" s="211">
        <f t="shared" si="1480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81"/>
        <v>0</v>
      </c>
      <c r="EVP46" s="211">
        <f t="shared" si="1482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83"/>
        <v>5181</v>
      </c>
      <c r="EVX46" s="211">
        <f t="shared" si="1484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85"/>
        <v>1290</v>
      </c>
      <c r="EWF46" s="211">
        <f t="shared" si="1486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87"/>
        <v>0</v>
      </c>
      <c r="EWN46" s="211">
        <f t="shared" si="1488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9"/>
        <v>2078</v>
      </c>
      <c r="EWV46" s="211">
        <f t="shared" si="1490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91"/>
        <v>1709</v>
      </c>
      <c r="EXD46" s="211">
        <f t="shared" si="1492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93"/>
        <v>4158</v>
      </c>
      <c r="EXL46" s="211">
        <f t="shared" si="1494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95"/>
        <v>0</v>
      </c>
      <c r="EXT46" s="211">
        <f t="shared" si="1496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97"/>
        <v>4007</v>
      </c>
      <c r="EYB46" s="211">
        <f t="shared" si="1498"/>
        <v>667.83333333333337</v>
      </c>
      <c r="EYC46" s="195"/>
      <c r="EYD46" s="49"/>
      <c r="EYE46" s="49"/>
      <c r="EYF46" s="49"/>
      <c r="EYG46" s="49"/>
      <c r="EYH46" s="49"/>
      <c r="EYI46" s="808">
        <f t="shared" si="1499"/>
        <v>0</v>
      </c>
      <c r="EYJ46" s="211">
        <f t="shared" si="1500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501"/>
        <v>4935</v>
      </c>
      <c r="EYR46" s="211">
        <f t="shared" si="1502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503"/>
        <v>1990</v>
      </c>
      <c r="EYZ46" s="873">
        <f t="shared" si="1504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505"/>
        <v>1677</v>
      </c>
      <c r="EZH46" s="873">
        <f t="shared" si="1506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>
        <v>0</v>
      </c>
      <c r="EZO46" s="872">
        <f t="shared" si="1507"/>
        <v>0</v>
      </c>
      <c r="EZP46" s="873">
        <f t="shared" si="1508"/>
        <v>0</v>
      </c>
      <c r="EZQ46" s="458">
        <v>0</v>
      </c>
      <c r="EZR46" s="83">
        <v>1610</v>
      </c>
      <c r="EZS46" s="83">
        <v>0</v>
      </c>
      <c r="EZT46" s="83">
        <v>0</v>
      </c>
      <c r="EZU46" s="83">
        <v>0</v>
      </c>
      <c r="EZV46" s="83">
        <v>680</v>
      </c>
      <c r="EZW46" s="872">
        <f t="shared" si="1509"/>
        <v>2290</v>
      </c>
      <c r="EZX46" s="873">
        <f t="shared" si="1510"/>
        <v>381.66666666666669</v>
      </c>
      <c r="EZY46" s="195">
        <v>3631</v>
      </c>
      <c r="EZZ46" s="49">
        <v>985</v>
      </c>
      <c r="FAA46" s="49"/>
      <c r="FAB46" s="49"/>
      <c r="FAC46" s="49"/>
      <c r="FAD46" s="49"/>
      <c r="FAE46" s="872">
        <f t="shared" si="1511"/>
        <v>4616</v>
      </c>
      <c r="FAF46" s="873">
        <f t="shared" si="1512"/>
        <v>769.33333333333337</v>
      </c>
    </row>
    <row r="47" spans="1:4088" s="8" customFormat="1" ht="13.5" thickBot="1" x14ac:dyDescent="0.25">
      <c r="A47" s="21">
        <v>18</v>
      </c>
      <c r="B47" s="297" t="s">
        <v>196</v>
      </c>
      <c r="C47" s="730" t="s">
        <v>309</v>
      </c>
      <c r="D47" s="297">
        <v>25</v>
      </c>
      <c r="E47" s="24"/>
      <c r="F47" s="24">
        <v>2527</v>
      </c>
      <c r="G47" s="24"/>
      <c r="H47" s="24"/>
      <c r="I47" s="24"/>
      <c r="J47" s="360"/>
      <c r="K47" s="24">
        <f t="shared" si="1226"/>
        <v>0</v>
      </c>
      <c r="L47" s="24">
        <f t="shared" ref="L47" si="2425">F47+H47-J47</f>
        <v>2527</v>
      </c>
      <c r="M47" s="15">
        <f t="shared" ref="M47" si="2426">K47+L47</f>
        <v>2527</v>
      </c>
      <c r="N47" s="15">
        <v>0</v>
      </c>
      <c r="O47" s="276">
        <f t="shared" si="1229"/>
        <v>0</v>
      </c>
      <c r="P47" s="712"/>
      <c r="Q47" s="276">
        <f t="shared" si="1518"/>
        <v>0</v>
      </c>
      <c r="R47" s="277">
        <f t="shared" si="1519"/>
        <v>0</v>
      </c>
      <c r="S47" s="222"/>
      <c r="T47" s="276">
        <f t="shared" si="1640"/>
        <v>0</v>
      </c>
      <c r="U47" s="278"/>
      <c r="V47" s="276">
        <f t="shared" si="1233"/>
        <v>0</v>
      </c>
      <c r="W47" s="279">
        <f t="shared" si="1234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80"/>
        <v>1878</v>
      </c>
      <c r="EFW47" s="68">
        <f t="shared" si="1381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82"/>
        <v>1598</v>
      </c>
      <c r="EGE47" s="68">
        <f t="shared" si="1383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84"/>
        <v>0</v>
      </c>
      <c r="EGM47" s="68">
        <f t="shared" si="1385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86"/>
        <v>0</v>
      </c>
      <c r="EGU47" s="68">
        <f t="shared" si="1387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8"/>
        <v>0</v>
      </c>
      <c r="EHC47" s="68">
        <f t="shared" si="1389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90"/>
        <v>1957</v>
      </c>
      <c r="EHK47" s="68">
        <f t="shared" si="1391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92"/>
        <v>1433</v>
      </c>
      <c r="EHS47" s="68">
        <f t="shared" si="1393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94"/>
        <v>2019</v>
      </c>
      <c r="EIA47" s="68">
        <f t="shared" si="1395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96"/>
        <v>1584</v>
      </c>
      <c r="EII47" s="68">
        <f t="shared" si="1397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8"/>
        <v>3493</v>
      </c>
      <c r="EIQ47" s="68">
        <f t="shared" si="1399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400"/>
        <v>122</v>
      </c>
      <c r="EIY47" s="68">
        <f t="shared" si="1401"/>
        <v>20.333333333333332</v>
      </c>
      <c r="EIZ47" s="48"/>
      <c r="EJA47" s="49"/>
      <c r="EJB47" s="49"/>
      <c r="EJC47" s="49"/>
      <c r="EJD47" s="49"/>
      <c r="EJE47" s="49"/>
      <c r="EJF47" s="64">
        <f t="shared" si="1402"/>
        <v>0</v>
      </c>
      <c r="EJG47" s="68">
        <f t="shared" si="1403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404"/>
        <v>960</v>
      </c>
      <c r="EJO47" s="68">
        <f t="shared" si="1405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406"/>
        <v>800</v>
      </c>
      <c r="EJW47" s="68">
        <f t="shared" si="1407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8"/>
        <v>3286</v>
      </c>
      <c r="EKE47" s="68">
        <f t="shared" si="1409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10"/>
        <v>2503</v>
      </c>
      <c r="EKM47" s="68">
        <f t="shared" si="1411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12"/>
        <v>0</v>
      </c>
      <c r="EKU47" s="184">
        <f t="shared" si="1413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14"/>
        <v>1776</v>
      </c>
      <c r="ELD47" s="211">
        <f t="shared" si="1415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16"/>
        <v>2342</v>
      </c>
      <c r="ELL47" s="211">
        <f t="shared" si="1417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8"/>
        <v>0</v>
      </c>
      <c r="ELT47" s="211">
        <f t="shared" si="1419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20"/>
        <v>0</v>
      </c>
      <c r="EMB47" s="211">
        <f t="shared" si="1421"/>
        <v>0</v>
      </c>
      <c r="EMC47" s="195"/>
      <c r="EMD47" s="49"/>
      <c r="EME47" s="49"/>
      <c r="EMF47" s="49"/>
      <c r="EMG47" s="49"/>
      <c r="EMH47" s="49"/>
      <c r="EMI47" s="64">
        <f t="shared" si="1422"/>
        <v>0</v>
      </c>
      <c r="EMJ47" s="211">
        <f t="shared" si="1423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24"/>
        <v>0</v>
      </c>
      <c r="EMR47" s="211">
        <f t="shared" si="1425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26"/>
        <v>1306</v>
      </c>
      <c r="EMZ47" s="211">
        <f t="shared" si="1427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8"/>
        <v>1038</v>
      </c>
      <c r="ENH47" s="211">
        <f t="shared" si="1429"/>
        <v>173</v>
      </c>
      <c r="ENI47" s="195"/>
      <c r="ENJ47" s="49"/>
      <c r="ENK47" s="49"/>
      <c r="ENL47" s="49"/>
      <c r="ENM47" s="49"/>
      <c r="ENN47" s="49"/>
      <c r="ENO47" s="64">
        <f t="shared" si="1430"/>
        <v>0</v>
      </c>
      <c r="ENP47" s="211">
        <f t="shared" si="1431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32"/>
        <v>1387</v>
      </c>
      <c r="ENX47" s="211">
        <f t="shared" si="1433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34"/>
        <v>2198</v>
      </c>
      <c r="EOF47" s="211">
        <f t="shared" si="1435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36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37"/>
        <v>999</v>
      </c>
      <c r="EOV47" s="211">
        <f t="shared" si="1438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9"/>
        <v>966</v>
      </c>
      <c r="EPD47" s="211">
        <f t="shared" si="1440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41"/>
        <v>868</v>
      </c>
      <c r="EPL47" s="211">
        <f t="shared" si="1442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43"/>
        <v>2241</v>
      </c>
      <c r="EPT47" s="211">
        <f t="shared" si="1444"/>
        <v>373.5</v>
      </c>
      <c r="EPU47" s="195"/>
      <c r="EPV47" s="49"/>
      <c r="EPW47" s="49"/>
      <c r="EPX47" s="49"/>
      <c r="EPY47" s="49"/>
      <c r="EPZ47" s="49"/>
      <c r="EQA47" s="64">
        <f t="shared" si="1445"/>
        <v>0</v>
      </c>
      <c r="EQB47" s="211">
        <f t="shared" si="1446"/>
        <v>0</v>
      </c>
      <c r="EQC47" s="195"/>
      <c r="EQD47" s="49"/>
      <c r="EQE47" s="49"/>
      <c r="EQF47" s="49"/>
      <c r="EQG47" s="49"/>
      <c r="EQH47" s="49"/>
      <c r="EQI47" s="64">
        <f t="shared" si="1447"/>
        <v>0</v>
      </c>
      <c r="EQJ47" s="211">
        <f t="shared" si="1448"/>
        <v>0</v>
      </c>
      <c r="EQK47" s="195"/>
      <c r="EQL47" s="49"/>
      <c r="EQM47" s="49"/>
      <c r="EQN47" s="49"/>
      <c r="EQO47" s="49"/>
      <c r="EQP47" s="49"/>
      <c r="EQQ47" s="64">
        <f t="shared" si="1449"/>
        <v>0</v>
      </c>
      <c r="EQR47" s="211">
        <f t="shared" si="1450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51"/>
        <v>108</v>
      </c>
      <c r="EQZ47" s="211">
        <f t="shared" si="1452"/>
        <v>18</v>
      </c>
      <c r="ERA47" s="195"/>
      <c r="ERB47" s="49"/>
      <c r="ERC47" s="49"/>
      <c r="ERD47" s="49"/>
      <c r="ERE47" s="49"/>
      <c r="ERF47" s="49"/>
      <c r="ERG47" s="64">
        <f t="shared" si="1453"/>
        <v>0</v>
      </c>
      <c r="ERH47" s="211">
        <f t="shared" si="1454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55"/>
        <v>1642</v>
      </c>
      <c r="ERP47" s="211">
        <f t="shared" si="1456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57"/>
        <v>0</v>
      </c>
      <c r="ERX47" s="211">
        <f t="shared" si="1458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9"/>
        <v>3087</v>
      </c>
      <c r="ESF47" s="211">
        <f t="shared" si="1460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61"/>
        <v>1239</v>
      </c>
      <c r="ESN47" s="211">
        <f t="shared" si="1462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63"/>
        <v>0</v>
      </c>
      <c r="ESV47" s="211">
        <f t="shared" si="1464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65"/>
        <v>984</v>
      </c>
      <c r="ETD47" s="211">
        <f t="shared" si="1466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67"/>
        <v>3279</v>
      </c>
      <c r="ETL47" s="211">
        <f t="shared" si="1468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9"/>
        <v>1930</v>
      </c>
      <c r="ETT47" s="211">
        <f t="shared" si="1470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71"/>
        <v>0</v>
      </c>
      <c r="EUB47" s="211">
        <f t="shared" si="1472"/>
        <v>0</v>
      </c>
      <c r="EUC47" s="458"/>
      <c r="EUD47" s="83"/>
      <c r="EUE47" s="83"/>
      <c r="EUF47" s="83"/>
      <c r="EUG47" s="83"/>
      <c r="EUH47" s="83"/>
      <c r="EUI47" s="808">
        <f t="shared" si="1473"/>
        <v>0</v>
      </c>
      <c r="EUJ47" s="211">
        <f t="shared" si="1474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75"/>
        <v>0</v>
      </c>
      <c r="EUR47" s="211">
        <f t="shared" si="1476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77"/>
        <v>0</v>
      </c>
      <c r="EUZ47" s="211">
        <f t="shared" si="1478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9"/>
        <v>1024</v>
      </c>
      <c r="EVH47" s="211">
        <f t="shared" si="1480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81"/>
        <v>898</v>
      </c>
      <c r="EVP47" s="211">
        <f t="shared" si="1482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83"/>
        <v>2664</v>
      </c>
      <c r="EVX47" s="211">
        <f t="shared" si="1484"/>
        <v>444</v>
      </c>
      <c r="EVY47" s="195"/>
      <c r="EVZ47" s="49"/>
      <c r="EWA47" s="49"/>
      <c r="EWB47" s="49"/>
      <c r="EWC47" s="49"/>
      <c r="EWD47" s="49"/>
      <c r="EWE47" s="808">
        <f t="shared" si="1485"/>
        <v>0</v>
      </c>
      <c r="EWF47" s="211">
        <f t="shared" si="1486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7"/>
        <v>0</v>
      </c>
      <c r="EWN47" s="211">
        <f t="shared" si="1488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9"/>
        <v>696</v>
      </c>
      <c r="EWV47" s="211">
        <f t="shared" si="1490"/>
        <v>116</v>
      </c>
      <c r="EWW47" s="195"/>
      <c r="EWX47" s="49"/>
      <c r="EWY47" s="49"/>
      <c r="EWZ47" s="49"/>
      <c r="EXA47" s="49"/>
      <c r="EXB47" s="49"/>
      <c r="EXC47" s="808">
        <f t="shared" si="1491"/>
        <v>0</v>
      </c>
      <c r="EXD47" s="211">
        <f t="shared" si="1492"/>
        <v>0</v>
      </c>
      <c r="EXE47" s="195"/>
      <c r="EXF47" s="49"/>
      <c r="EXG47" s="49"/>
      <c r="EXH47" s="49"/>
      <c r="EXI47" s="49"/>
      <c r="EXJ47" s="49"/>
      <c r="EXK47" s="808">
        <f t="shared" si="1493"/>
        <v>0</v>
      </c>
      <c r="EXL47" s="211">
        <f t="shared" si="1494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95"/>
        <v>1184</v>
      </c>
      <c r="EXT47" s="211">
        <f t="shared" si="1496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97"/>
        <v>0</v>
      </c>
      <c r="EYB47" s="211">
        <f t="shared" si="1498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9"/>
        <v>0</v>
      </c>
      <c r="EYJ47" s="211">
        <f t="shared" si="1500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501"/>
        <v>638</v>
      </c>
      <c r="EYR47" s="211">
        <f t="shared" si="1502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503"/>
        <v>814</v>
      </c>
      <c r="EYZ47" s="873">
        <f t="shared" si="1504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505"/>
        <v>0</v>
      </c>
      <c r="EZH47" s="873">
        <f t="shared" si="1506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>
        <v>0</v>
      </c>
      <c r="EZO47" s="872">
        <f t="shared" si="1507"/>
        <v>920</v>
      </c>
      <c r="EZP47" s="873">
        <f t="shared" si="1508"/>
        <v>153.33333333333334</v>
      </c>
      <c r="EZQ47" s="458">
        <v>0</v>
      </c>
      <c r="EZR47" s="83"/>
      <c r="EZS47" s="83"/>
      <c r="EZT47" s="83"/>
      <c r="EZU47" s="83"/>
      <c r="EZV47" s="83"/>
      <c r="EZW47" s="872">
        <f t="shared" si="1509"/>
        <v>0</v>
      </c>
      <c r="EZX47" s="873">
        <f t="shared" si="1510"/>
        <v>0</v>
      </c>
      <c r="EZY47" s="195"/>
      <c r="EZZ47" s="49"/>
      <c r="FAA47" s="49"/>
      <c r="FAB47" s="49"/>
      <c r="FAC47" s="49"/>
      <c r="FAD47" s="49"/>
      <c r="FAE47" s="872">
        <f t="shared" si="1511"/>
        <v>0</v>
      </c>
      <c r="FAF47" s="873">
        <f t="shared" si="1512"/>
        <v>0</v>
      </c>
    </row>
    <row r="48" spans="1:4088" s="8" customFormat="1" ht="13.5" thickBot="1" x14ac:dyDescent="0.25">
      <c r="A48" s="21">
        <v>19</v>
      </c>
      <c r="B48" s="297" t="s">
        <v>149</v>
      </c>
      <c r="C48" s="730" t="s">
        <v>294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6"/>
        <v>0</v>
      </c>
      <c r="L48" s="24">
        <f t="shared" si="1517"/>
        <v>6217</v>
      </c>
      <c r="M48" s="15">
        <f t="shared" si="1639"/>
        <v>6217</v>
      </c>
      <c r="N48" s="15">
        <v>0</v>
      </c>
      <c r="O48" s="276">
        <f t="shared" si="1229"/>
        <v>0</v>
      </c>
      <c r="P48" s="712">
        <v>0</v>
      </c>
      <c r="Q48" s="276">
        <f t="shared" si="1518"/>
        <v>0</v>
      </c>
      <c r="R48" s="277">
        <f t="shared" si="1519"/>
        <v>373.84615384615387</v>
      </c>
      <c r="S48" s="222">
        <v>9720</v>
      </c>
      <c r="T48" s="276">
        <f t="shared" si="1640"/>
        <v>16.6298353909465</v>
      </c>
      <c r="U48" s="278"/>
      <c r="V48" s="276">
        <f t="shared" si="1233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14"/>
        <v>0</v>
      </c>
      <c r="COM48" s="68">
        <f t="shared" si="1715"/>
        <v>0</v>
      </c>
      <c r="CON48" s="48"/>
      <c r="COO48" s="49"/>
      <c r="COP48" s="49"/>
      <c r="COQ48" s="49"/>
      <c r="COR48" s="49"/>
      <c r="COS48" s="49"/>
      <c r="COT48" s="67">
        <f t="shared" si="1716"/>
        <v>0</v>
      </c>
      <c r="COU48" s="68">
        <f t="shared" si="1717"/>
        <v>0</v>
      </c>
      <c r="COV48" s="48"/>
      <c r="COW48" s="49"/>
      <c r="COX48" s="49"/>
      <c r="COY48" s="49"/>
      <c r="COZ48" s="49"/>
      <c r="CPA48" s="49"/>
      <c r="CPB48" s="67">
        <f t="shared" si="1718"/>
        <v>0</v>
      </c>
      <c r="CPC48" s="68">
        <f t="shared" si="1719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20"/>
        <v>0</v>
      </c>
      <c r="CPK48" s="68">
        <f t="shared" si="1721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22"/>
        <v>1319</v>
      </c>
      <c r="CPS48" s="68">
        <f t="shared" si="1723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24"/>
        <v>835</v>
      </c>
      <c r="CQA48" s="68">
        <f t="shared" si="1725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26"/>
        <v>1565</v>
      </c>
      <c r="CQI48" s="68">
        <f t="shared" si="1727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28"/>
        <v>907</v>
      </c>
      <c r="CQQ48" s="68">
        <f t="shared" si="1729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30"/>
        <v>0</v>
      </c>
      <c r="CQY48" s="68">
        <f t="shared" si="1731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32"/>
        <v>601</v>
      </c>
      <c r="CRG48" s="68">
        <f t="shared" si="1733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34"/>
        <v>0</v>
      </c>
      <c r="CRO48" s="68">
        <f t="shared" si="1735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36"/>
        <v>548</v>
      </c>
      <c r="CRW48" s="68">
        <f t="shared" si="1737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38"/>
        <v>0</v>
      </c>
      <c r="CSE48" s="68">
        <f t="shared" si="1739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40"/>
        <v>0</v>
      </c>
      <c r="CSM48" s="68">
        <f t="shared" si="1741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42"/>
        <v>577</v>
      </c>
      <c r="CSU48" s="68">
        <f t="shared" si="1743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44"/>
        <v>574</v>
      </c>
      <c r="CTC48" s="68">
        <f t="shared" si="1745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46"/>
        <v>596</v>
      </c>
      <c r="CTK48" s="68">
        <f t="shared" si="1747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48"/>
        <v>1322</v>
      </c>
      <c r="CTS48" s="68">
        <f t="shared" si="1749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50"/>
        <v>600</v>
      </c>
      <c r="CUA48" s="68">
        <f t="shared" si="1751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52"/>
        <v>0</v>
      </c>
      <c r="CUI48" s="68">
        <f t="shared" si="1753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54"/>
        <v>0</v>
      </c>
      <c r="CUQ48" s="68">
        <f t="shared" si="1755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56"/>
        <v>0</v>
      </c>
      <c r="CUY48" s="68">
        <f t="shared" si="1757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58"/>
        <v>245</v>
      </c>
      <c r="CVG48" s="68">
        <f t="shared" si="1759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60"/>
        <v>897</v>
      </c>
      <c r="CVO48" s="68">
        <f t="shared" si="1761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62"/>
        <v>0</v>
      </c>
      <c r="CVW48" s="68">
        <f t="shared" si="1763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64"/>
        <v>0</v>
      </c>
      <c r="CWE48" s="68">
        <f t="shared" si="1765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66"/>
        <v>0</v>
      </c>
      <c r="CWM48" s="68">
        <f t="shared" si="1767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68"/>
        <v>477</v>
      </c>
      <c r="CWU48" s="68">
        <f t="shared" si="1769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70"/>
        <v>0</v>
      </c>
      <c r="CXC48" s="43">
        <f t="shared" si="1771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72"/>
        <v>0</v>
      </c>
      <c r="CXK48" s="43">
        <f t="shared" si="1773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74"/>
        <v>0</v>
      </c>
      <c r="CXS48" s="43">
        <f t="shared" si="1775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76"/>
        <v>523</v>
      </c>
      <c r="CYA48" s="43">
        <f t="shared" si="1777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78"/>
        <v>234</v>
      </c>
      <c r="CYI48" s="43">
        <f t="shared" si="1779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80"/>
        <v>1048</v>
      </c>
      <c r="CYQ48" s="43">
        <f t="shared" si="1781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82"/>
        <v>0</v>
      </c>
      <c r="CYY48" s="43">
        <f t="shared" si="1783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84"/>
        <v>0</v>
      </c>
      <c r="CZG48" s="43">
        <f t="shared" si="1785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86"/>
        <v>0</v>
      </c>
      <c r="CZO48" s="43">
        <f t="shared" si="1787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88"/>
        <v>0</v>
      </c>
      <c r="CZW48" s="43">
        <f t="shared" si="1789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90"/>
        <v>0</v>
      </c>
      <c r="DAE48" s="68">
        <f t="shared" si="1791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92"/>
        <v>0</v>
      </c>
      <c r="DAM48" s="68">
        <f t="shared" si="1793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94"/>
        <v>0</v>
      </c>
      <c r="DAU48" s="68">
        <f t="shared" si="1795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96"/>
        <v>0</v>
      </c>
      <c r="DBC48" s="68">
        <f t="shared" si="1797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98"/>
        <v>0</v>
      </c>
      <c r="DBK48" s="68">
        <f t="shared" si="1799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800"/>
        <v>0</v>
      </c>
      <c r="DBS48" s="68">
        <f t="shared" si="1801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802"/>
        <v>0</v>
      </c>
      <c r="DCA48" s="68">
        <f t="shared" si="1803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804"/>
        <v>0</v>
      </c>
      <c r="DCI48" s="68">
        <f t="shared" si="1805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806"/>
        <v>180</v>
      </c>
      <c r="DCQ48" s="68">
        <f t="shared" si="1807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808"/>
        <v>227</v>
      </c>
      <c r="DCY48" s="68">
        <f t="shared" si="1809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810"/>
        <v>0</v>
      </c>
      <c r="DDG48" s="68">
        <f t="shared" si="1811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12"/>
        <v>0</v>
      </c>
      <c r="DDO48" s="43">
        <f t="shared" si="1813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14"/>
        <v>234</v>
      </c>
      <c r="DDW48" s="43">
        <f t="shared" si="1815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16"/>
        <v>0</v>
      </c>
      <c r="DEE48" s="43">
        <f t="shared" si="1817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18"/>
        <v>0</v>
      </c>
      <c r="DEM48" s="43">
        <f t="shared" si="1819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20"/>
        <v>0</v>
      </c>
      <c r="DEU48" s="43">
        <f t="shared" si="1821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22"/>
        <v>715</v>
      </c>
      <c r="DFC48" s="43">
        <f t="shared" si="1823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24"/>
        <v>0</v>
      </c>
      <c r="DFK48" s="43">
        <f t="shared" si="1825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26"/>
        <v>0</v>
      </c>
      <c r="DFS48" s="68">
        <f t="shared" si="1827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28"/>
        <v>242</v>
      </c>
      <c r="DGA48" s="43">
        <f t="shared" si="1829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30"/>
        <v>821</v>
      </c>
      <c r="DGI48" s="43">
        <f t="shared" si="1831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32"/>
        <v>0</v>
      </c>
      <c r="DGQ48" s="68">
        <f t="shared" si="1833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34"/>
        <v>0</v>
      </c>
      <c r="DGY48" s="68">
        <f t="shared" si="1835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36"/>
        <v>0</v>
      </c>
      <c r="DHG48" s="68">
        <f t="shared" si="1837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38"/>
        <v>239</v>
      </c>
      <c r="DHO48" s="68">
        <f t="shared" si="1839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40"/>
        <v>0</v>
      </c>
      <c r="DHW48" s="68">
        <f t="shared" si="1841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42"/>
        <v>0</v>
      </c>
      <c r="DIE48" s="68">
        <f t="shared" si="1843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44"/>
        <v>154</v>
      </c>
      <c r="DIM48" s="68">
        <f t="shared" si="1845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46"/>
        <v>225</v>
      </c>
      <c r="DIU48" s="68">
        <f t="shared" si="1847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48"/>
        <v>165</v>
      </c>
      <c r="DJC48" s="68">
        <f t="shared" si="1849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50"/>
        <v>203</v>
      </c>
      <c r="DJK48" s="68">
        <f t="shared" si="1851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52"/>
        <v>445</v>
      </c>
      <c r="DJS48" s="68">
        <f t="shared" si="1853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54"/>
        <v>272</v>
      </c>
      <c r="DKA48" s="68">
        <f t="shared" si="1855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56"/>
        <v>1143</v>
      </c>
      <c r="DKI48" s="68">
        <f t="shared" si="1857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58"/>
        <v>0</v>
      </c>
      <c r="DKQ48" s="68">
        <f t="shared" si="1859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60"/>
        <v>1125</v>
      </c>
      <c r="DKY48" s="68">
        <f t="shared" si="1861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62"/>
        <v>588</v>
      </c>
      <c r="DLG48" s="68">
        <f t="shared" si="1863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64"/>
        <v>0</v>
      </c>
      <c r="DLO48" s="68">
        <f t="shared" si="1865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66"/>
        <v>0</v>
      </c>
      <c r="DLW48" s="68">
        <f t="shared" si="1867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68"/>
        <v>890</v>
      </c>
      <c r="DME48" s="68">
        <f t="shared" si="1869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70"/>
        <v>0</v>
      </c>
      <c r="DMM48" s="68">
        <f t="shared" si="1871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72"/>
        <v>610</v>
      </c>
      <c r="DMU48" s="68">
        <f t="shared" si="1873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74"/>
        <v>1246</v>
      </c>
      <c r="DNC48" s="68">
        <f t="shared" si="1875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76"/>
        <v>1436</v>
      </c>
      <c r="DNK48" s="68">
        <f t="shared" si="1877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78"/>
        <v>566</v>
      </c>
      <c r="DNS48" s="68">
        <f t="shared" si="1879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80"/>
        <v>1152</v>
      </c>
      <c r="DOA48" s="68">
        <f t="shared" si="1881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82"/>
        <v>1231</v>
      </c>
      <c r="DOI48" s="68">
        <f t="shared" si="1883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84"/>
        <v>581</v>
      </c>
      <c r="DOQ48" s="68">
        <f t="shared" si="1885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86"/>
        <v>588</v>
      </c>
      <c r="DOY48" s="68">
        <f t="shared" si="1887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88"/>
        <v>622</v>
      </c>
      <c r="DPG48" s="68">
        <f t="shared" si="1889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90"/>
        <v>0</v>
      </c>
      <c r="DPO48" s="68">
        <f t="shared" si="1891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92"/>
        <v>1419</v>
      </c>
      <c r="DPW48" s="492">
        <f t="shared" si="1893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94"/>
        <v>0</v>
      </c>
      <c r="DQE48" s="492">
        <f t="shared" si="1895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96"/>
        <v>2291</v>
      </c>
      <c r="DQM48" s="492">
        <f t="shared" si="1897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98"/>
        <v>1214</v>
      </c>
      <c r="DQU48" s="68">
        <f t="shared" si="1899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900"/>
        <v>1687</v>
      </c>
      <c r="DRC48" s="492">
        <f t="shared" si="1901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902"/>
        <v>902</v>
      </c>
      <c r="DRK48" s="492">
        <f t="shared" si="1903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99"/>
        <v>2243</v>
      </c>
      <c r="DRS48" s="68">
        <f t="shared" si="1600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601"/>
        <v>1207</v>
      </c>
      <c r="DSA48" s="68">
        <f t="shared" si="1602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603"/>
        <v>1198</v>
      </c>
      <c r="DSI48" s="68">
        <f t="shared" si="1604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605"/>
        <v>2221</v>
      </c>
      <c r="DSQ48" s="68">
        <f t="shared" si="1606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607"/>
        <v>1191</v>
      </c>
      <c r="DSY48" s="68">
        <f t="shared" si="1608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609"/>
        <v>1647</v>
      </c>
      <c r="DTG48" s="68">
        <f t="shared" si="1610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611"/>
        <v>2440</v>
      </c>
      <c r="DTO48" s="68">
        <f t="shared" si="1612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13"/>
        <v>1618</v>
      </c>
      <c r="DTW48" s="68">
        <f t="shared" si="1614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15"/>
        <v>2064</v>
      </c>
      <c r="DUE48" s="68">
        <f t="shared" si="1616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17"/>
        <v>1589</v>
      </c>
      <c r="DUM48" s="68">
        <f t="shared" si="1618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19"/>
        <v>3856</v>
      </c>
      <c r="DUU48" s="68">
        <f t="shared" si="1620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21"/>
        <v>1</v>
      </c>
      <c r="DVC48" s="68">
        <f t="shared" si="1622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23"/>
        <v>0</v>
      </c>
      <c r="DVK48" s="68">
        <f t="shared" si="1624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25"/>
        <v>0</v>
      </c>
      <c r="DVS48" s="68">
        <f t="shared" si="1626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27"/>
        <v>1528</v>
      </c>
      <c r="DWA48" s="68">
        <f t="shared" si="1628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29"/>
        <v>2213</v>
      </c>
      <c r="DWI48" s="68">
        <f t="shared" si="1630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31"/>
        <v>1633</v>
      </c>
      <c r="DWQ48" s="68">
        <f t="shared" si="1632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33"/>
        <v>0</v>
      </c>
      <c r="DWY48" s="68">
        <f t="shared" si="1634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35"/>
        <v>1296</v>
      </c>
      <c r="DXG48" s="68">
        <f t="shared" si="1636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37"/>
        <v>969</v>
      </c>
      <c r="DXO48" s="68">
        <f t="shared" si="1638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8"/>
        <v>1270</v>
      </c>
      <c r="DXW48" s="68">
        <f t="shared" si="1329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30"/>
        <v>0</v>
      </c>
      <c r="DYE48" s="68">
        <f t="shared" si="1331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32"/>
        <v>888</v>
      </c>
      <c r="DYM48" s="68">
        <f t="shared" si="1333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34"/>
        <v>0</v>
      </c>
      <c r="DYU48" s="68">
        <f t="shared" si="1335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36"/>
        <v>620</v>
      </c>
      <c r="DZC48" s="68">
        <f t="shared" si="1337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8"/>
        <v>2148</v>
      </c>
      <c r="DZK48" s="68">
        <f t="shared" si="1339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40"/>
        <v>630</v>
      </c>
      <c r="DZS48" s="68">
        <f t="shared" si="1341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42"/>
        <v>2597</v>
      </c>
      <c r="EAA48" s="68">
        <f t="shared" si="1343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44"/>
        <v>2305</v>
      </c>
      <c r="EAI48" s="68">
        <f t="shared" si="1345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46"/>
        <v>1614</v>
      </c>
      <c r="EAQ48" s="68">
        <f t="shared" si="1347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8"/>
        <v>1567</v>
      </c>
      <c r="EAY48" s="68">
        <f t="shared" si="1349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50"/>
        <v>0</v>
      </c>
      <c r="EBG48" s="68">
        <f t="shared" si="1351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52"/>
        <v>1162</v>
      </c>
      <c r="EBO48" s="68">
        <f t="shared" si="1353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54"/>
        <v>476</v>
      </c>
      <c r="EBW48" s="68">
        <f t="shared" si="1355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56"/>
        <v>1492</v>
      </c>
      <c r="ECE48" s="68">
        <f t="shared" si="1357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8"/>
        <v>2758</v>
      </c>
      <c r="ECM48" s="68">
        <f t="shared" si="1359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60"/>
        <v>558</v>
      </c>
      <c r="ECU48" s="68">
        <f t="shared" si="1361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62"/>
        <v>2106</v>
      </c>
      <c r="EDC48" s="68">
        <f t="shared" si="1363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64"/>
        <v>1497</v>
      </c>
      <c r="EDK48" s="68">
        <f t="shared" si="1365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66"/>
        <v>2148</v>
      </c>
      <c r="EDS48" s="68">
        <f t="shared" si="1367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8"/>
        <v>942</v>
      </c>
      <c r="EEA48" s="68">
        <f t="shared" si="1369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70"/>
        <v>919</v>
      </c>
      <c r="EEI48" s="68">
        <f t="shared" si="1371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72"/>
        <v>566</v>
      </c>
      <c r="EEQ48" s="68">
        <f t="shared" si="1373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74"/>
        <v>2408</v>
      </c>
      <c r="EEY48" s="68">
        <f t="shared" si="1375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76"/>
        <v>2312</v>
      </c>
      <c r="EFG48" s="68">
        <f t="shared" si="1377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8"/>
        <v>2574</v>
      </c>
      <c r="EFO48" s="68">
        <f t="shared" si="1379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80"/>
        <v>1147</v>
      </c>
      <c r="EFW48" s="68">
        <f t="shared" si="1381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82"/>
        <v>684</v>
      </c>
      <c r="EGE48" s="68">
        <f t="shared" si="1383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84"/>
        <v>934</v>
      </c>
      <c r="EGM48" s="68">
        <f t="shared" si="1385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86"/>
        <v>2466</v>
      </c>
      <c r="EGU48" s="68">
        <f t="shared" si="1387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8"/>
        <v>1542</v>
      </c>
      <c r="EHC48" s="68">
        <f t="shared" si="1389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90"/>
        <v>1751</v>
      </c>
      <c r="EHK48" s="68">
        <f t="shared" si="1391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92"/>
        <v>1061</v>
      </c>
      <c r="EHS48" s="68">
        <f t="shared" si="1393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94"/>
        <v>1879</v>
      </c>
      <c r="EIA48" s="68">
        <f t="shared" si="1395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96"/>
        <v>2102</v>
      </c>
      <c r="EII48" s="68">
        <f t="shared" si="1397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8"/>
        <v>1872</v>
      </c>
      <c r="EIQ48" s="68">
        <f t="shared" si="1399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400"/>
        <v>1251</v>
      </c>
      <c r="EIY48" s="68">
        <f t="shared" si="1401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402"/>
        <v>885</v>
      </c>
      <c r="EJG48" s="68">
        <f t="shared" si="1403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404"/>
        <v>1570</v>
      </c>
      <c r="EJO48" s="68">
        <f t="shared" si="1405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406"/>
        <v>2880</v>
      </c>
      <c r="EJW48" s="68">
        <f t="shared" si="1407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8"/>
        <v>1197</v>
      </c>
      <c r="EKE48" s="68">
        <f t="shared" si="1409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10"/>
        <v>1472</v>
      </c>
      <c r="EKM48" s="68">
        <f t="shared" si="1411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12"/>
        <v>1854</v>
      </c>
      <c r="EKU48" s="184">
        <f t="shared" si="1413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14"/>
        <v>636</v>
      </c>
      <c r="ELD48" s="211">
        <f t="shared" si="1415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16"/>
        <v>1775</v>
      </c>
      <c r="ELL48" s="211">
        <f t="shared" si="1417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8"/>
        <v>1862</v>
      </c>
      <c r="ELT48" s="211">
        <f t="shared" si="1419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20"/>
        <v>613</v>
      </c>
      <c r="EMB48" s="211">
        <f t="shared" si="1421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22"/>
        <v>0</v>
      </c>
      <c r="EMJ48" s="211">
        <f t="shared" si="1423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24"/>
        <v>2175</v>
      </c>
      <c r="EMR48" s="211">
        <f t="shared" si="1425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26"/>
        <v>900</v>
      </c>
      <c r="EMZ48" s="211">
        <f t="shared" si="1427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8"/>
        <v>1442</v>
      </c>
      <c r="ENH48" s="211">
        <f t="shared" si="1429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30"/>
        <v>1426</v>
      </c>
      <c r="ENP48" s="211">
        <f t="shared" si="1431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32"/>
        <v>1558</v>
      </c>
      <c r="ENX48" s="211">
        <f t="shared" si="1433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34"/>
        <v>1223</v>
      </c>
      <c r="EOF48" s="211">
        <f t="shared" si="1435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36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37"/>
        <v>1054</v>
      </c>
      <c r="EOV48" s="211">
        <f t="shared" si="1438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9"/>
        <v>2510</v>
      </c>
      <c r="EPD48" s="211">
        <f t="shared" si="1440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41"/>
        <v>959</v>
      </c>
      <c r="EPL48" s="211">
        <f t="shared" si="1442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43"/>
        <v>923</v>
      </c>
      <c r="EPT48" s="211">
        <f t="shared" si="1444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45"/>
        <v>1583</v>
      </c>
      <c r="EQB48" s="211">
        <f t="shared" si="1446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47"/>
        <v>968</v>
      </c>
      <c r="EQJ48" s="211">
        <f t="shared" si="1448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9"/>
        <v>1908</v>
      </c>
      <c r="EQR48" s="211">
        <f t="shared" si="1450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51"/>
        <v>1558</v>
      </c>
      <c r="EQZ48" s="211">
        <f t="shared" si="1452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53"/>
        <v>944</v>
      </c>
      <c r="ERH48" s="211">
        <f t="shared" si="1454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55"/>
        <v>946</v>
      </c>
      <c r="ERP48" s="211">
        <f t="shared" si="1456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57"/>
        <v>1969</v>
      </c>
      <c r="ERX48" s="211">
        <f t="shared" si="1458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9"/>
        <v>898</v>
      </c>
      <c r="ESF48" s="211">
        <f t="shared" si="1460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61"/>
        <v>2242</v>
      </c>
      <c r="ESN48" s="211">
        <f t="shared" si="1462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63"/>
        <v>1640</v>
      </c>
      <c r="ESV48" s="211">
        <f t="shared" si="1464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65"/>
        <v>0</v>
      </c>
      <c r="ETD48" s="211">
        <f t="shared" si="1466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67"/>
        <v>1631</v>
      </c>
      <c r="ETL48" s="211">
        <f t="shared" si="1468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9"/>
        <v>0</v>
      </c>
      <c r="ETT48" s="211">
        <f t="shared" si="1470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71"/>
        <v>1812</v>
      </c>
      <c r="EUB48" s="211">
        <f t="shared" si="1472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73"/>
        <v>1259</v>
      </c>
      <c r="EUJ48" s="211">
        <f t="shared" si="1474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75"/>
        <v>912</v>
      </c>
      <c r="EUR48" s="211">
        <f t="shared" si="1476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77"/>
        <v>0</v>
      </c>
      <c r="EUZ48" s="211">
        <f t="shared" si="1478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9"/>
        <v>0</v>
      </c>
      <c r="EVH48" s="211">
        <f t="shared" si="1480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81"/>
        <v>0</v>
      </c>
      <c r="EVP48" s="211">
        <f t="shared" si="1482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83"/>
        <v>1306</v>
      </c>
      <c r="EVX48" s="211">
        <f t="shared" si="1484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85"/>
        <v>1218</v>
      </c>
      <c r="EWF48" s="211">
        <f t="shared" si="1486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87"/>
        <v>925</v>
      </c>
      <c r="EWN48" s="211">
        <f t="shared" si="1488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9"/>
        <v>2586</v>
      </c>
      <c r="EWV48" s="211">
        <f t="shared" si="1490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91"/>
        <v>1291</v>
      </c>
      <c r="EXD48" s="211">
        <f t="shared" si="1492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93"/>
        <v>962</v>
      </c>
      <c r="EXL48" s="211">
        <f t="shared" si="1494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95"/>
        <v>0</v>
      </c>
      <c r="EXT48" s="211">
        <f t="shared" si="1496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97"/>
        <v>0</v>
      </c>
      <c r="EYB48" s="211">
        <f t="shared" si="1498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9"/>
        <v>591</v>
      </c>
      <c r="EYJ48" s="211">
        <f t="shared" si="1500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501"/>
        <v>911</v>
      </c>
      <c r="EYR48" s="211">
        <f t="shared" si="1502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503"/>
        <v>1766</v>
      </c>
      <c r="EYZ48" s="873">
        <f t="shared" si="1504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505"/>
        <v>289</v>
      </c>
      <c r="EZH48" s="873">
        <f t="shared" si="1506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>
        <v>0</v>
      </c>
      <c r="EZO48" s="872">
        <f t="shared" si="1507"/>
        <v>0</v>
      </c>
      <c r="EZP48" s="873">
        <f t="shared" si="1508"/>
        <v>0</v>
      </c>
      <c r="EZQ48" s="458">
        <v>0</v>
      </c>
      <c r="EZR48" s="83"/>
      <c r="EZS48" s="83">
        <v>0</v>
      </c>
      <c r="EZT48" s="83">
        <v>0</v>
      </c>
      <c r="EZU48" s="83">
        <v>0</v>
      </c>
      <c r="EZV48" s="83">
        <v>0</v>
      </c>
      <c r="EZW48" s="872">
        <f t="shared" si="1509"/>
        <v>0</v>
      </c>
      <c r="EZX48" s="873">
        <f t="shared" si="1510"/>
        <v>0</v>
      </c>
      <c r="EZY48" s="195">
        <v>0</v>
      </c>
      <c r="EZZ48" s="49">
        <v>0</v>
      </c>
      <c r="FAA48" s="49"/>
      <c r="FAB48" s="49"/>
      <c r="FAC48" s="49"/>
      <c r="FAD48" s="49"/>
      <c r="FAE48" s="872">
        <f t="shared" si="1511"/>
        <v>0</v>
      </c>
      <c r="FAF48" s="873">
        <f t="shared" si="1512"/>
        <v>0</v>
      </c>
    </row>
    <row r="49" spans="1:4088" s="8" customFormat="1" ht="13.5" thickBot="1" x14ac:dyDescent="0.25">
      <c r="A49" s="21">
        <v>20</v>
      </c>
      <c r="B49" s="297" t="s">
        <v>335</v>
      </c>
      <c r="C49" s="730" t="s">
        <v>338</v>
      </c>
      <c r="D49" s="297">
        <v>25</v>
      </c>
      <c r="E49" s="24"/>
      <c r="F49" s="24">
        <v>1838</v>
      </c>
      <c r="G49" s="24"/>
      <c r="H49" s="24"/>
      <c r="I49" s="360"/>
      <c r="J49" s="360">
        <f>SUMIF(SUMPK!$B:$B,$B:$B,SUMPK!$O:$O)</f>
        <v>0</v>
      </c>
      <c r="K49" s="24">
        <f t="shared" si="1226"/>
        <v>0</v>
      </c>
      <c r="L49" s="24">
        <f t="shared" ref="L49:L54" si="2427">F49+H49-J49</f>
        <v>1838</v>
      </c>
      <c r="M49" s="15">
        <f t="shared" ref="M49:M54" si="2428">K49+L49</f>
        <v>1838</v>
      </c>
      <c r="N49" s="15">
        <v>88.5</v>
      </c>
      <c r="O49" s="276"/>
      <c r="P49" s="712"/>
      <c r="Q49" s="276"/>
      <c r="R49" s="277"/>
      <c r="S49" s="222"/>
      <c r="T49" s="276"/>
      <c r="U49" s="278"/>
      <c r="V49" s="276">
        <f t="shared" si="1233"/>
        <v>0</v>
      </c>
      <c r="W49" s="279">
        <f t="shared" ref="W49:W61" si="2429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20"/>
        <v>220</v>
      </c>
      <c r="EMB49" s="211">
        <f t="shared" si="1421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22"/>
        <v>588</v>
      </c>
      <c r="EMJ49" s="211">
        <f t="shared" si="1423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24"/>
        <v>0</v>
      </c>
      <c r="EMR49" s="211">
        <f t="shared" si="1425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26"/>
        <v>1042</v>
      </c>
      <c r="EMZ49" s="211">
        <f t="shared" si="1427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8"/>
        <v>0</v>
      </c>
      <c r="ENH49" s="211">
        <f t="shared" si="1429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30"/>
        <v>988</v>
      </c>
      <c r="ENP49" s="211">
        <f t="shared" si="1431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32"/>
        <v>527</v>
      </c>
      <c r="ENX49" s="211">
        <f t="shared" si="1433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34"/>
        <v>1848</v>
      </c>
      <c r="EOF49" s="211">
        <f t="shared" si="1435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36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37"/>
        <v>282</v>
      </c>
      <c r="EOV49" s="211">
        <f t="shared" si="1438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9"/>
        <v>291</v>
      </c>
      <c r="EPD49" s="211">
        <f t="shared" si="1440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41"/>
        <v>0</v>
      </c>
      <c r="EPL49" s="211">
        <f t="shared" si="1442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43"/>
        <v>587</v>
      </c>
      <c r="EPT49" s="211">
        <f t="shared" si="1444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45"/>
        <v>1268</v>
      </c>
      <c r="EQB49" s="211">
        <f t="shared" si="1446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47"/>
        <v>1222</v>
      </c>
      <c r="EQJ49" s="211">
        <f t="shared" si="1448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9"/>
        <v>0</v>
      </c>
      <c r="EQR49" s="211">
        <f t="shared" si="1450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51"/>
        <v>0</v>
      </c>
      <c r="EQZ49" s="211">
        <f t="shared" si="1452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53"/>
        <v>0</v>
      </c>
      <c r="ERH49" s="211">
        <f t="shared" si="1454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55"/>
        <v>0</v>
      </c>
      <c r="ERP49" s="211">
        <f t="shared" si="1456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57"/>
        <v>794</v>
      </c>
      <c r="ERX49" s="211">
        <f t="shared" si="1458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9"/>
        <v>1583</v>
      </c>
      <c r="ESF49" s="211">
        <f t="shared" si="1460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61"/>
        <v>1507</v>
      </c>
      <c r="ESN49" s="211">
        <f t="shared" si="1462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63"/>
        <v>0</v>
      </c>
      <c r="ESV49" s="211">
        <f t="shared" si="1464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65"/>
        <v>1314</v>
      </c>
      <c r="ETD49" s="211">
        <f t="shared" si="1466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7"/>
        <v>0</v>
      </c>
      <c r="ETL49" s="211">
        <f t="shared" si="1468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9"/>
        <v>1886</v>
      </c>
      <c r="ETT49" s="211">
        <f t="shared" si="1470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71"/>
        <v>0</v>
      </c>
      <c r="EUB49" s="211">
        <f t="shared" si="1472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73"/>
        <v>0</v>
      </c>
      <c r="EUJ49" s="211">
        <f t="shared" si="1474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75"/>
        <v>1124</v>
      </c>
      <c r="EUR49" s="211">
        <f t="shared" si="1476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7"/>
        <v>0</v>
      </c>
      <c r="EUZ49" s="211">
        <f t="shared" si="1478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9"/>
        <v>974</v>
      </c>
      <c r="EVH49" s="211">
        <f t="shared" si="1480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81"/>
        <v>962</v>
      </c>
      <c r="EVP49" s="211">
        <f t="shared" si="1482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83"/>
        <v>964</v>
      </c>
      <c r="EVX49" s="211">
        <f t="shared" si="1484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85"/>
        <v>715</v>
      </c>
      <c r="EWF49" s="211">
        <f t="shared" si="1486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87"/>
        <v>0</v>
      </c>
      <c r="EWN49" s="211">
        <f t="shared" si="1488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9"/>
        <v>583</v>
      </c>
      <c r="EWV49" s="211">
        <f t="shared" si="1490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91"/>
        <v>627</v>
      </c>
      <c r="EXD49" s="211">
        <f t="shared" si="1492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93"/>
        <v>1138</v>
      </c>
      <c r="EXL49" s="211">
        <f t="shared" si="1494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95"/>
        <v>268</v>
      </c>
      <c r="EXT49" s="211">
        <f t="shared" si="1496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97"/>
        <v>1247</v>
      </c>
      <c r="EYB49" s="211">
        <f t="shared" si="1498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9"/>
        <v>774</v>
      </c>
      <c r="EYJ49" s="211">
        <f t="shared" si="1500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501"/>
        <v>0</v>
      </c>
      <c r="EYR49" s="211">
        <f t="shared" si="1502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503"/>
        <v>1267</v>
      </c>
      <c r="EYZ49" s="873">
        <f t="shared" si="1504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505"/>
        <v>0</v>
      </c>
      <c r="EZH49" s="873">
        <f t="shared" si="1506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7"/>
        <v>0</v>
      </c>
      <c r="EZP49" s="873">
        <f t="shared" si="1508"/>
        <v>0</v>
      </c>
      <c r="EZQ49" s="458">
        <v>281</v>
      </c>
      <c r="EZR49" s="83"/>
      <c r="EZS49" s="83">
        <v>0</v>
      </c>
      <c r="EZT49" s="83">
        <v>250</v>
      </c>
      <c r="EZU49" s="83">
        <v>0</v>
      </c>
      <c r="EZV49" s="83">
        <v>0</v>
      </c>
      <c r="EZW49" s="872">
        <f t="shared" si="1509"/>
        <v>531</v>
      </c>
      <c r="EZX49" s="873">
        <f t="shared" si="1510"/>
        <v>88.5</v>
      </c>
      <c r="EZY49" s="195">
        <v>0</v>
      </c>
      <c r="EZZ49" s="49">
        <v>0</v>
      </c>
      <c r="FAA49" s="49"/>
      <c r="FAB49" s="49"/>
      <c r="FAC49" s="49"/>
      <c r="FAD49" s="49"/>
      <c r="FAE49" s="872">
        <f t="shared" si="1511"/>
        <v>0</v>
      </c>
      <c r="FAF49" s="873">
        <f t="shared" si="1512"/>
        <v>0</v>
      </c>
    </row>
    <row r="50" spans="1:4088" s="8" customFormat="1" ht="13.5" thickBot="1" x14ac:dyDescent="0.25">
      <c r="A50" s="21">
        <v>21</v>
      </c>
      <c r="B50" s="297" t="s">
        <v>166</v>
      </c>
      <c r="C50" s="730" t="s">
        <v>289</v>
      </c>
      <c r="D50" s="297">
        <v>25</v>
      </c>
      <c r="E50" s="24"/>
      <c r="F50" s="24">
        <v>3340</v>
      </c>
      <c r="G50" s="24"/>
      <c r="H50" s="24"/>
      <c r="I50" s="360"/>
      <c r="J50" s="360">
        <f>SUMIF(SUMPK!$B:$B,$B:$B,SUMPK!$O:$O)</f>
        <v>0</v>
      </c>
      <c r="K50" s="24">
        <f t="shared" si="1226"/>
        <v>0</v>
      </c>
      <c r="L50" s="24">
        <f t="shared" si="2427"/>
        <v>3340</v>
      </c>
      <c r="M50" s="15">
        <f t="shared" si="2428"/>
        <v>3340</v>
      </c>
      <c r="N50" s="15">
        <v>0</v>
      </c>
      <c r="O50" s="276">
        <f t="shared" si="1229"/>
        <v>0</v>
      </c>
      <c r="P50" s="712">
        <v>0</v>
      </c>
      <c r="Q50" s="276">
        <f t="shared" si="1518"/>
        <v>0</v>
      </c>
      <c r="R50" s="277">
        <f t="shared" si="1519"/>
        <v>132.30769230769232</v>
      </c>
      <c r="S50" s="222">
        <v>3440</v>
      </c>
      <c r="T50" s="276">
        <f t="shared" si="1640"/>
        <v>25.244186046511626</v>
      </c>
      <c r="U50" s="278"/>
      <c r="V50" s="276">
        <f t="shared" si="1233"/>
        <v>25.244186046511626</v>
      </c>
      <c r="W50" s="279">
        <f t="shared" si="2429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24"/>
        <v>0</v>
      </c>
      <c r="CQA50" s="68">
        <f t="shared" si="1725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26"/>
        <v>0</v>
      </c>
      <c r="CQI50" s="68">
        <f t="shared" si="1727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28"/>
        <v>0</v>
      </c>
      <c r="CQQ50" s="68">
        <f t="shared" si="1729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30"/>
        <v>0</v>
      </c>
      <c r="CQY50" s="68">
        <f t="shared" si="1731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32"/>
        <v>0</v>
      </c>
      <c r="CRG50" s="68">
        <f t="shared" si="1733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34"/>
        <v>0</v>
      </c>
      <c r="CRO50" s="68">
        <f t="shared" si="1735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36"/>
        <v>0</v>
      </c>
      <c r="CRW50" s="68">
        <f t="shared" si="1737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38"/>
        <v>0</v>
      </c>
      <c r="CSE50" s="68">
        <f t="shared" si="1739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40"/>
        <v>0</v>
      </c>
      <c r="CSM50" s="68">
        <f t="shared" si="1741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42"/>
        <v>0</v>
      </c>
      <c r="CSU50" s="68">
        <f t="shared" si="1743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44"/>
        <v>0</v>
      </c>
      <c r="CTC50" s="68">
        <f t="shared" si="1745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46"/>
        <v>0</v>
      </c>
      <c r="CTK50" s="68">
        <f t="shared" si="1747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48"/>
        <v>1333</v>
      </c>
      <c r="CTS50" s="68">
        <f t="shared" si="1749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50"/>
        <v>0</v>
      </c>
      <c r="CUA50" s="68">
        <f t="shared" si="1751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52"/>
        <v>1599</v>
      </c>
      <c r="CUI50" s="68">
        <f t="shared" si="1753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54"/>
        <v>2314</v>
      </c>
      <c r="CUQ50" s="68">
        <f t="shared" si="1755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56"/>
        <v>2224</v>
      </c>
      <c r="CUY50" s="68">
        <f t="shared" si="1757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58"/>
        <v>2439</v>
      </c>
      <c r="CVG50" s="68">
        <f t="shared" si="1759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60"/>
        <v>3396</v>
      </c>
      <c r="CVO50" s="68">
        <f t="shared" si="1761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62"/>
        <v>2311</v>
      </c>
      <c r="CVW50" s="68">
        <f t="shared" si="1763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64"/>
        <v>660</v>
      </c>
      <c r="CWE50" s="68">
        <f t="shared" si="1765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66"/>
        <v>0</v>
      </c>
      <c r="CWM50" s="68">
        <f t="shared" si="1767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68"/>
        <v>0</v>
      </c>
      <c r="CWU50" s="68">
        <f t="shared" si="1769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70"/>
        <v>659</v>
      </c>
      <c r="CXC50" s="43">
        <f t="shared" si="1771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72"/>
        <v>0</v>
      </c>
      <c r="CXK50" s="43">
        <f t="shared" si="1773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74"/>
        <v>0</v>
      </c>
      <c r="CXS50" s="43">
        <f t="shared" si="1775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76"/>
        <v>1336</v>
      </c>
      <c r="CYA50" s="43">
        <f t="shared" si="1777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78"/>
        <v>0</v>
      </c>
      <c r="CYI50" s="43">
        <f t="shared" si="1779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80"/>
        <v>0</v>
      </c>
      <c r="CYQ50" s="43">
        <f t="shared" si="1781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82"/>
        <v>945</v>
      </c>
      <c r="CYY50" s="43">
        <f t="shared" si="1783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84"/>
        <v>0</v>
      </c>
      <c r="CZG50" s="43">
        <f t="shared" si="1785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86"/>
        <v>645</v>
      </c>
      <c r="CZO50" s="43">
        <f t="shared" si="1787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88"/>
        <v>0</v>
      </c>
      <c r="CZW50" s="43">
        <f t="shared" si="1789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90"/>
        <v>1350</v>
      </c>
      <c r="DAE50" s="68">
        <f t="shared" si="1791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92"/>
        <v>0</v>
      </c>
      <c r="DAM50" s="68">
        <f t="shared" si="1793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94"/>
        <v>0</v>
      </c>
      <c r="DAU50" s="68">
        <f t="shared" si="1795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96"/>
        <v>0</v>
      </c>
      <c r="DBC50" s="68">
        <f t="shared" si="1797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98"/>
        <v>0</v>
      </c>
      <c r="DBK50" s="68">
        <f t="shared" si="1799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800"/>
        <v>0</v>
      </c>
      <c r="DBS50" s="68">
        <f t="shared" si="1801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802"/>
        <v>0</v>
      </c>
      <c r="DCA50" s="68">
        <f t="shared" si="1803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804"/>
        <v>0</v>
      </c>
      <c r="DCI50" s="68">
        <f t="shared" si="1805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806"/>
        <v>0</v>
      </c>
      <c r="DCQ50" s="68">
        <f t="shared" si="1807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808"/>
        <v>0</v>
      </c>
      <c r="DCY50" s="68">
        <f t="shared" si="1809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810"/>
        <v>0</v>
      </c>
      <c r="DDG50" s="68">
        <f t="shared" si="1811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12"/>
        <v>0</v>
      </c>
      <c r="DDO50" s="43">
        <f t="shared" si="1813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14"/>
        <v>0</v>
      </c>
      <c r="DDW50" s="43">
        <f t="shared" si="1815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16"/>
        <v>0</v>
      </c>
      <c r="DEE50" s="43">
        <f t="shared" si="1817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18"/>
        <v>0</v>
      </c>
      <c r="DEM50" s="43">
        <f t="shared" si="1819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20"/>
        <v>0</v>
      </c>
      <c r="DEU50" s="43">
        <f t="shared" si="1821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22"/>
        <v>0</v>
      </c>
      <c r="DFC50" s="43">
        <f t="shared" si="1823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24"/>
        <v>0</v>
      </c>
      <c r="DFK50" s="43">
        <f t="shared" si="1825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26"/>
        <v>0</v>
      </c>
      <c r="DFS50" s="68">
        <f t="shared" si="1827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28"/>
        <v>0</v>
      </c>
      <c r="DGA50" s="43">
        <f t="shared" si="1829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30"/>
        <v>0</v>
      </c>
      <c r="DGI50" s="43">
        <f t="shared" si="1831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32"/>
        <v>0</v>
      </c>
      <c r="DGQ50" s="68">
        <f t="shared" si="1833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34"/>
        <v>0</v>
      </c>
      <c r="DGY50" s="68">
        <f t="shared" si="1835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36"/>
        <v>0</v>
      </c>
      <c r="DHG50" s="68">
        <f t="shared" si="1837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38"/>
        <v>0</v>
      </c>
      <c r="DHO50" s="68">
        <f t="shared" si="1839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40"/>
        <v>0</v>
      </c>
      <c r="DHW50" s="68">
        <f t="shared" si="1841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42"/>
        <v>0</v>
      </c>
      <c r="DIE50" s="68">
        <f t="shared" si="1843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44"/>
        <v>0</v>
      </c>
      <c r="DIM50" s="68">
        <f t="shared" si="1845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46"/>
        <v>0</v>
      </c>
      <c r="DIU50" s="68">
        <f t="shared" si="1847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48"/>
        <v>0</v>
      </c>
      <c r="DJC50" s="68">
        <f t="shared" si="1849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50"/>
        <v>0</v>
      </c>
      <c r="DJK50" s="68">
        <f t="shared" si="1851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52"/>
        <v>0</v>
      </c>
      <c r="DJS50" s="68">
        <f t="shared" si="1853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54"/>
        <v>0</v>
      </c>
      <c r="DKA50" s="68">
        <f t="shared" si="1855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56"/>
        <v>0</v>
      </c>
      <c r="DKI50" s="68">
        <f t="shared" si="1857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58"/>
        <v>0</v>
      </c>
      <c r="DKQ50" s="68">
        <f t="shared" si="1859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60"/>
        <v>0</v>
      </c>
      <c r="DKY50" s="68">
        <f t="shared" si="1861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62"/>
        <v>0</v>
      </c>
      <c r="DLG50" s="68">
        <f t="shared" si="1863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64"/>
        <v>0</v>
      </c>
      <c r="DLO50" s="68">
        <f t="shared" si="1865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66"/>
        <v>0</v>
      </c>
      <c r="DLW50" s="68">
        <f t="shared" si="1867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68"/>
        <v>0</v>
      </c>
      <c r="DME50" s="68">
        <f t="shared" si="1869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70"/>
        <v>0</v>
      </c>
      <c r="DMM50" s="68">
        <f t="shared" si="1871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72"/>
        <v>0</v>
      </c>
      <c r="DMU50" s="68">
        <f t="shared" si="1873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74"/>
        <v>0</v>
      </c>
      <c r="DNC50" s="68">
        <f t="shared" si="1875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76"/>
        <v>0</v>
      </c>
      <c r="DNK50" s="68">
        <f t="shared" si="1877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78"/>
        <v>0</v>
      </c>
      <c r="DNS50" s="68">
        <f t="shared" si="1879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80"/>
        <v>0</v>
      </c>
      <c r="DOA50" s="68">
        <f t="shared" si="1881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82"/>
        <v>0</v>
      </c>
      <c r="DOI50" s="68">
        <f t="shared" si="1883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84"/>
        <v>0</v>
      </c>
      <c r="DOQ50" s="68">
        <f t="shared" si="1885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86"/>
        <v>0</v>
      </c>
      <c r="DOY50" s="68">
        <f t="shared" si="1887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88"/>
        <v>0</v>
      </c>
      <c r="DPG50" s="68">
        <f t="shared" si="1889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90"/>
        <v>0</v>
      </c>
      <c r="DPO50" s="68">
        <f t="shared" si="1891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92"/>
        <v>0</v>
      </c>
      <c r="DPW50" s="492">
        <f t="shared" si="1893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94"/>
        <v>0</v>
      </c>
      <c r="DQE50" s="492">
        <f t="shared" si="1895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96"/>
        <v>0</v>
      </c>
      <c r="DQM50" s="492">
        <f t="shared" si="1897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98"/>
        <v>0</v>
      </c>
      <c r="DQU50" s="68">
        <f t="shared" si="1899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900"/>
        <v>0</v>
      </c>
      <c r="DRC50" s="492">
        <f t="shared" si="1901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902"/>
        <v>0</v>
      </c>
      <c r="DRK50" s="492">
        <f t="shared" si="1903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99"/>
        <v>0</v>
      </c>
      <c r="DRS50" s="68">
        <f t="shared" si="1600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601"/>
        <v>636</v>
      </c>
      <c r="DSA50" s="68">
        <f t="shared" si="1602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603"/>
        <v>0</v>
      </c>
      <c r="DSI50" s="68">
        <f t="shared" si="1604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605"/>
        <v>1733</v>
      </c>
      <c r="DSQ50" s="68">
        <f t="shared" si="1606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607"/>
        <v>304</v>
      </c>
      <c r="DSY50" s="68">
        <f t="shared" si="1608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609"/>
        <v>0</v>
      </c>
      <c r="DTG50" s="68">
        <f t="shared" si="1610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611"/>
        <v>0</v>
      </c>
      <c r="DTO50" s="68">
        <f t="shared" si="1612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13"/>
        <v>0</v>
      </c>
      <c r="DTW50" s="68">
        <f t="shared" si="1614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15"/>
        <v>0</v>
      </c>
      <c r="DUE50" s="68">
        <f t="shared" si="1616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17"/>
        <v>301</v>
      </c>
      <c r="DUM50" s="68">
        <f t="shared" si="1618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19"/>
        <v>0</v>
      </c>
      <c r="DUU50" s="68">
        <f t="shared" si="1620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21"/>
        <v>2597</v>
      </c>
      <c r="DVC50" s="68">
        <f t="shared" si="1622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23"/>
        <v>2582</v>
      </c>
      <c r="DVK50" s="68">
        <f t="shared" si="1624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25"/>
        <v>954</v>
      </c>
      <c r="DVS50" s="68">
        <f t="shared" si="1626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27"/>
        <v>1953</v>
      </c>
      <c r="DWA50" s="68">
        <f t="shared" si="1628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29"/>
        <v>1938</v>
      </c>
      <c r="DWI50" s="68">
        <f t="shared" si="1630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31"/>
        <v>0</v>
      </c>
      <c r="DWQ50" s="68">
        <f t="shared" si="1632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33"/>
        <v>0</v>
      </c>
      <c r="DWY50" s="68">
        <f t="shared" si="1634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35"/>
        <v>0</v>
      </c>
      <c r="DXG50" s="68">
        <f t="shared" si="1636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37"/>
        <v>1739</v>
      </c>
      <c r="DXO50" s="68">
        <f t="shared" si="1638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8"/>
        <v>1595</v>
      </c>
      <c r="DXW50" s="68">
        <f t="shared" si="1329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30"/>
        <v>2836</v>
      </c>
      <c r="DYE50" s="68">
        <f t="shared" si="1331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32"/>
        <v>1966</v>
      </c>
      <c r="DYM50" s="68">
        <f t="shared" si="1333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34"/>
        <v>624</v>
      </c>
      <c r="DYU50" s="68">
        <f t="shared" si="1335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36"/>
        <v>2293</v>
      </c>
      <c r="DZC50" s="68">
        <f t="shared" si="1337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8"/>
        <v>0</v>
      </c>
      <c r="DZK50" s="68">
        <f t="shared" si="1339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40"/>
        <v>0</v>
      </c>
      <c r="DZS50" s="68">
        <f t="shared" si="1341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42"/>
        <v>0</v>
      </c>
      <c r="EAA50" s="68">
        <f t="shared" si="1343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44"/>
        <v>0</v>
      </c>
      <c r="EAI50" s="68">
        <f t="shared" si="1345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46"/>
        <v>0</v>
      </c>
      <c r="EAQ50" s="68">
        <f t="shared" si="1347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8"/>
        <v>990</v>
      </c>
      <c r="EAY50" s="68">
        <f t="shared" si="1349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50"/>
        <v>636</v>
      </c>
      <c r="EBG50" s="68">
        <f t="shared" si="1351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52"/>
        <v>1952</v>
      </c>
      <c r="EBO50" s="68">
        <f t="shared" si="1353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54"/>
        <v>203</v>
      </c>
      <c r="EBW50" s="68">
        <f t="shared" si="1355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56"/>
        <v>0</v>
      </c>
      <c r="ECE50" s="68">
        <f t="shared" si="1357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8"/>
        <v>0</v>
      </c>
      <c r="ECM50" s="68">
        <f t="shared" si="1359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60"/>
        <v>0</v>
      </c>
      <c r="ECU50" s="68">
        <f t="shared" si="1361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62"/>
        <v>1508</v>
      </c>
      <c r="EDC50" s="68">
        <f t="shared" si="1363"/>
        <v>251.33333333333334</v>
      </c>
      <c r="EDD50" s="48"/>
      <c r="EDE50" s="49"/>
      <c r="EDF50" s="49"/>
      <c r="EDG50" s="49"/>
      <c r="EDH50" s="49"/>
      <c r="EDI50" s="49"/>
      <c r="EDJ50" s="64">
        <f t="shared" si="1364"/>
        <v>0</v>
      </c>
      <c r="EDK50" s="68">
        <f t="shared" si="1365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66"/>
        <v>0</v>
      </c>
      <c r="EDS50" s="68">
        <f t="shared" si="1367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8"/>
        <v>369</v>
      </c>
      <c r="EEA50" s="68">
        <f t="shared" si="1369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70"/>
        <v>3367</v>
      </c>
      <c r="EEI50" s="68">
        <f t="shared" si="1371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72"/>
        <v>4192</v>
      </c>
      <c r="EEQ50" s="68">
        <f t="shared" si="1373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74"/>
        <v>187</v>
      </c>
      <c r="EEY50" s="68">
        <f t="shared" si="1375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76"/>
        <v>0</v>
      </c>
      <c r="EFG50" s="68">
        <f t="shared" si="1377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8"/>
        <v>0</v>
      </c>
      <c r="EFO50" s="68">
        <f t="shared" si="1379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80"/>
        <v>0</v>
      </c>
      <c r="EFW50" s="68">
        <f t="shared" si="1381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82"/>
        <v>1274</v>
      </c>
      <c r="EGE50" s="68">
        <f t="shared" si="1383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84"/>
        <v>1585</v>
      </c>
      <c r="EGM50" s="68">
        <f t="shared" si="1385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86"/>
        <v>0</v>
      </c>
      <c r="EGU50" s="68">
        <f t="shared" si="1387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8"/>
        <v>902</v>
      </c>
      <c r="EHC50" s="68">
        <f t="shared" si="1389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90"/>
        <v>347</v>
      </c>
      <c r="EHK50" s="68">
        <f t="shared" si="1391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92"/>
        <v>345</v>
      </c>
      <c r="EHS50" s="68">
        <f t="shared" si="1393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94"/>
        <v>648</v>
      </c>
      <c r="EIA50" s="68">
        <f t="shared" si="1395"/>
        <v>108</v>
      </c>
      <c r="EIB50" s="48"/>
      <c r="EIC50" s="49"/>
      <c r="EID50" s="49"/>
      <c r="EIE50" s="49"/>
      <c r="EIF50" s="49"/>
      <c r="EIG50" s="49"/>
      <c r="EIH50" s="64">
        <f t="shared" si="1396"/>
        <v>0</v>
      </c>
      <c r="EII50" s="68">
        <f t="shared" si="1397"/>
        <v>0</v>
      </c>
      <c r="EIJ50" s="48"/>
      <c r="EIK50" s="49"/>
      <c r="EIL50" s="49"/>
      <c r="EIM50" s="49"/>
      <c r="EIN50" s="49"/>
      <c r="EIO50" s="49"/>
      <c r="EIP50" s="64">
        <f t="shared" si="1398"/>
        <v>0</v>
      </c>
      <c r="EIQ50" s="68">
        <f t="shared" si="1399"/>
        <v>0</v>
      </c>
      <c r="EIR50" s="48"/>
      <c r="EIS50" s="49"/>
      <c r="EIT50" s="49"/>
      <c r="EIU50" s="49"/>
      <c r="EIV50" s="49"/>
      <c r="EIW50" s="49"/>
      <c r="EIX50" s="64">
        <f t="shared" si="1400"/>
        <v>0</v>
      </c>
      <c r="EIY50" s="68">
        <f t="shared" si="1401"/>
        <v>0</v>
      </c>
      <c r="EIZ50" s="48"/>
      <c r="EJA50" s="49"/>
      <c r="EJB50" s="49"/>
      <c r="EJC50" s="49"/>
      <c r="EJD50" s="49"/>
      <c r="EJE50" s="49"/>
      <c r="EJF50" s="64">
        <f t="shared" si="1402"/>
        <v>0</v>
      </c>
      <c r="EJG50" s="68">
        <f t="shared" si="1403"/>
        <v>0</v>
      </c>
      <c r="EJH50" s="48"/>
      <c r="EJI50" s="49"/>
      <c r="EJJ50" s="49"/>
      <c r="EJK50" s="49"/>
      <c r="EJL50" s="49"/>
      <c r="EJM50" s="49"/>
      <c r="EJN50" s="64">
        <f t="shared" si="1404"/>
        <v>0</v>
      </c>
      <c r="EJO50" s="68">
        <f t="shared" si="1405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406"/>
        <v>1263</v>
      </c>
      <c r="EJW50" s="68">
        <f t="shared" si="1407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8"/>
        <v>784</v>
      </c>
      <c r="EKE50" s="68">
        <f t="shared" si="1409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10"/>
        <v>612</v>
      </c>
      <c r="EKM50" s="68">
        <f t="shared" si="1411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12"/>
        <v>1212</v>
      </c>
      <c r="EKU50" s="184">
        <f t="shared" si="1413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14"/>
        <v>1726</v>
      </c>
      <c r="ELD50" s="211">
        <f t="shared" si="1415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16"/>
        <v>0</v>
      </c>
      <c r="ELL50" s="211">
        <f t="shared" si="1417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8"/>
        <v>612</v>
      </c>
      <c r="ELT50" s="211">
        <f t="shared" si="1419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20"/>
        <v>621</v>
      </c>
      <c r="EMB50" s="211">
        <f t="shared" si="1421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22"/>
        <v>0</v>
      </c>
      <c r="EMJ50" s="211">
        <f t="shared" si="1423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4"/>
        <v>0</v>
      </c>
      <c r="EMR50" s="211">
        <f t="shared" si="1425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26"/>
        <v>0</v>
      </c>
      <c r="EMZ50" s="211">
        <f t="shared" si="1427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8"/>
        <v>0</v>
      </c>
      <c r="ENH50" s="211">
        <f t="shared" si="1429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30"/>
        <v>0</v>
      </c>
      <c r="ENP50" s="211">
        <f t="shared" si="1431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32"/>
        <v>0</v>
      </c>
      <c r="ENX50" s="211">
        <f t="shared" si="1433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34"/>
        <v>0</v>
      </c>
      <c r="EOF50" s="211">
        <f t="shared" si="1435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6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37"/>
        <v>0</v>
      </c>
      <c r="EOV50" s="211">
        <f t="shared" si="1438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9"/>
        <v>0</v>
      </c>
      <c r="EPD50" s="211">
        <f t="shared" si="1440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41"/>
        <v>0</v>
      </c>
      <c r="EPL50" s="211">
        <f t="shared" si="1442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43"/>
        <v>0</v>
      </c>
      <c r="EPT50" s="211">
        <f t="shared" si="1444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45"/>
        <v>0</v>
      </c>
      <c r="EQB50" s="211">
        <f t="shared" si="1446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47"/>
        <v>678</v>
      </c>
      <c r="EQJ50" s="211">
        <f t="shared" si="1448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9"/>
        <v>0</v>
      </c>
      <c r="EQR50" s="211">
        <f t="shared" si="1450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51"/>
        <v>1169</v>
      </c>
      <c r="EQZ50" s="211">
        <f t="shared" si="1452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53"/>
        <v>0</v>
      </c>
      <c r="ERH50" s="211">
        <f t="shared" si="1454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5"/>
        <v>0</v>
      </c>
      <c r="ERP50" s="211">
        <f t="shared" si="1456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57"/>
        <v>0</v>
      </c>
      <c r="ERX50" s="211">
        <f t="shared" si="1458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9"/>
        <v>0</v>
      </c>
      <c r="ESF50" s="211">
        <f t="shared" si="1460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61"/>
        <v>0</v>
      </c>
      <c r="ESN50" s="211">
        <f t="shared" si="1462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63"/>
        <v>0</v>
      </c>
      <c r="ESV50" s="211">
        <f t="shared" si="1464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65"/>
        <v>0</v>
      </c>
      <c r="ETD50" s="211">
        <f t="shared" si="1466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7"/>
        <v>640</v>
      </c>
      <c r="ETL50" s="211">
        <f t="shared" si="1468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9"/>
        <v>0</v>
      </c>
      <c r="ETT50" s="211">
        <f t="shared" si="1470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71"/>
        <v>0</v>
      </c>
      <c r="EUB50" s="211">
        <f t="shared" si="1472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73"/>
        <v>0</v>
      </c>
      <c r="EUJ50" s="211">
        <f t="shared" si="1474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75"/>
        <v>0</v>
      </c>
      <c r="EUR50" s="211">
        <f t="shared" si="1476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7"/>
        <v>0</v>
      </c>
      <c r="EUZ50" s="211">
        <f t="shared" si="1478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9"/>
        <v>0</v>
      </c>
      <c r="EVH50" s="211">
        <f t="shared" si="1480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81"/>
        <v>0</v>
      </c>
      <c r="EVP50" s="211">
        <f t="shared" si="1482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83"/>
        <v>0</v>
      </c>
      <c r="EVX50" s="211">
        <f t="shared" si="1484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85"/>
        <v>549</v>
      </c>
      <c r="EWF50" s="211">
        <f t="shared" si="1486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7"/>
        <v>0</v>
      </c>
      <c r="EWN50" s="211">
        <f t="shared" si="1488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9"/>
        <v>0</v>
      </c>
      <c r="EWV50" s="211">
        <f t="shared" si="1490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91"/>
        <v>0</v>
      </c>
      <c r="EXD50" s="211">
        <f t="shared" si="1492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93"/>
        <v>0</v>
      </c>
      <c r="EXL50" s="211">
        <f t="shared" si="1494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95"/>
        <v>0</v>
      </c>
      <c r="EXT50" s="211">
        <f t="shared" si="1496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97"/>
        <v>363</v>
      </c>
      <c r="EYB50" s="211">
        <f t="shared" si="1498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9"/>
        <v>0</v>
      </c>
      <c r="EYJ50" s="211">
        <f t="shared" si="1500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501"/>
        <v>0</v>
      </c>
      <c r="EYR50" s="211">
        <f t="shared" si="1502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503"/>
        <v>0</v>
      </c>
      <c r="EYZ50" s="873">
        <f t="shared" si="1504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5"/>
        <v>0</v>
      </c>
      <c r="EZH50" s="873">
        <f t="shared" si="1506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>
        <v>0</v>
      </c>
      <c r="EZO50" s="872">
        <f t="shared" si="1507"/>
        <v>1286</v>
      </c>
      <c r="EZP50" s="873">
        <f t="shared" si="1508"/>
        <v>214.33333333333334</v>
      </c>
      <c r="EZQ50" s="458">
        <v>0</v>
      </c>
      <c r="EZR50" s="83"/>
      <c r="EZS50" s="83"/>
      <c r="EZT50" s="83">
        <v>0</v>
      </c>
      <c r="EZU50" s="83">
        <v>0</v>
      </c>
      <c r="EZV50" s="83">
        <v>0</v>
      </c>
      <c r="EZW50" s="872">
        <f t="shared" si="1509"/>
        <v>0</v>
      </c>
      <c r="EZX50" s="873">
        <f t="shared" si="1510"/>
        <v>0</v>
      </c>
      <c r="EZY50" s="195">
        <v>0</v>
      </c>
      <c r="EZZ50" s="49">
        <v>0</v>
      </c>
      <c r="FAA50" s="49"/>
      <c r="FAB50" s="49"/>
      <c r="FAC50" s="49"/>
      <c r="FAD50" s="49"/>
      <c r="FAE50" s="872">
        <f t="shared" si="1511"/>
        <v>0</v>
      </c>
      <c r="FAF50" s="873">
        <f t="shared" si="1512"/>
        <v>0</v>
      </c>
    </row>
    <row r="51" spans="1:4088" s="8" customFormat="1" ht="13.5" thickBot="1" x14ac:dyDescent="0.25">
      <c r="A51" s="21">
        <v>22</v>
      </c>
      <c r="B51" s="297" t="s">
        <v>150</v>
      </c>
      <c r="C51" s="730" t="s">
        <v>295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6"/>
        <v>0</v>
      </c>
      <c r="L51" s="24">
        <f t="shared" si="2427"/>
        <v>1403</v>
      </c>
      <c r="M51" s="15">
        <f t="shared" si="2428"/>
        <v>1403</v>
      </c>
      <c r="N51" s="15">
        <v>0</v>
      </c>
      <c r="O51" s="276">
        <f t="shared" si="1229"/>
        <v>0</v>
      </c>
      <c r="P51" s="712"/>
      <c r="Q51" s="276">
        <f t="shared" si="1518"/>
        <v>0</v>
      </c>
      <c r="R51" s="277">
        <f t="shared" si="1519"/>
        <v>0</v>
      </c>
      <c r="S51" s="222"/>
      <c r="T51" s="276">
        <f t="shared" si="1640"/>
        <v>0</v>
      </c>
      <c r="U51" s="278"/>
      <c r="V51" s="276">
        <f t="shared" si="1233"/>
        <v>0</v>
      </c>
      <c r="W51" s="279">
        <f t="shared" si="2429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24"/>
        <v>0</v>
      </c>
      <c r="CQA51" s="68">
        <f t="shared" si="1725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26"/>
        <v>0</v>
      </c>
      <c r="CQI51" s="68">
        <f t="shared" si="1727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28"/>
        <v>0</v>
      </c>
      <c r="CQQ51" s="68">
        <f t="shared" si="1729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30"/>
        <v>1677</v>
      </c>
      <c r="CQY51" s="68">
        <f t="shared" si="1731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32"/>
        <v>0</v>
      </c>
      <c r="CRG51" s="68">
        <f t="shared" si="1733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34"/>
        <v>2986</v>
      </c>
      <c r="CRO51" s="68">
        <f t="shared" si="1735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36"/>
        <v>4539</v>
      </c>
      <c r="CRW51" s="68">
        <f t="shared" si="1737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38"/>
        <v>1818</v>
      </c>
      <c r="CSE51" s="68">
        <f t="shared" si="1739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40"/>
        <v>1505</v>
      </c>
      <c r="CSM51" s="68">
        <f t="shared" si="1741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42"/>
        <v>611</v>
      </c>
      <c r="CSU51" s="68">
        <f t="shared" si="1743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44"/>
        <v>1209</v>
      </c>
      <c r="CTC51" s="68">
        <f t="shared" si="1745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6"/>
        <v>0</v>
      </c>
      <c r="CTK51" s="68">
        <f t="shared" si="1747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48"/>
        <v>2386</v>
      </c>
      <c r="CTS51" s="68">
        <f t="shared" si="1749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50"/>
        <v>5207</v>
      </c>
      <c r="CUA51" s="68">
        <f t="shared" si="1751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52"/>
        <v>0</v>
      </c>
      <c r="CUI51" s="68">
        <f t="shared" si="1753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54"/>
        <v>1821</v>
      </c>
      <c r="CUQ51" s="68">
        <f t="shared" si="1755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56"/>
        <v>2578</v>
      </c>
      <c r="CUY51" s="68">
        <f t="shared" si="1757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58"/>
        <v>1633</v>
      </c>
      <c r="CVG51" s="68">
        <f t="shared" si="1759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60"/>
        <v>0</v>
      </c>
      <c r="CVO51" s="68">
        <f t="shared" si="1761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62"/>
        <v>1163</v>
      </c>
      <c r="CVW51" s="68">
        <f t="shared" si="1763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64"/>
        <v>260</v>
      </c>
      <c r="CWE51" s="68">
        <f t="shared" si="1765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66"/>
        <v>256</v>
      </c>
      <c r="CWM51" s="68">
        <f t="shared" si="1767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68"/>
        <v>884</v>
      </c>
      <c r="CWU51" s="68">
        <f t="shared" si="1769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70"/>
        <v>578</v>
      </c>
      <c r="CXC51" s="43">
        <f t="shared" si="1771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72"/>
        <v>278</v>
      </c>
      <c r="CXK51" s="43">
        <f t="shared" si="1773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74"/>
        <v>864</v>
      </c>
      <c r="CXS51" s="43">
        <f t="shared" si="1775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76"/>
        <v>583</v>
      </c>
      <c r="CYA51" s="43">
        <f t="shared" si="1777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78"/>
        <v>954</v>
      </c>
      <c r="CYI51" s="43">
        <f t="shared" si="1779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80"/>
        <v>0</v>
      </c>
      <c r="CYQ51" s="43">
        <f t="shared" si="1781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82"/>
        <v>1816</v>
      </c>
      <c r="CYY51" s="43">
        <f t="shared" si="1783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84"/>
        <v>1304</v>
      </c>
      <c r="CZG51" s="43">
        <f t="shared" si="1785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86"/>
        <v>0</v>
      </c>
      <c r="CZO51" s="43">
        <f t="shared" si="1787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88"/>
        <v>943</v>
      </c>
      <c r="CZW51" s="43">
        <f t="shared" si="1789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90"/>
        <v>0</v>
      </c>
      <c r="DAE51" s="68">
        <f t="shared" si="1791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92"/>
        <v>574</v>
      </c>
      <c r="DAM51" s="68">
        <f t="shared" si="1793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94"/>
        <v>398</v>
      </c>
      <c r="DAU51" s="68">
        <f t="shared" si="1795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96"/>
        <v>163</v>
      </c>
      <c r="DBC51" s="68">
        <f t="shared" si="1797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98"/>
        <v>372</v>
      </c>
      <c r="DBK51" s="68">
        <f t="shared" si="1799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800"/>
        <v>0</v>
      </c>
      <c r="DBS51" s="68">
        <f t="shared" si="1801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802"/>
        <v>292</v>
      </c>
      <c r="DCA51" s="68">
        <f t="shared" si="1803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804"/>
        <v>0</v>
      </c>
      <c r="DCI51" s="68">
        <f t="shared" si="1805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6"/>
        <v>0</v>
      </c>
      <c r="DCQ51" s="68">
        <f t="shared" si="1807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08"/>
        <v>585</v>
      </c>
      <c r="DCY51" s="68">
        <f t="shared" si="1809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10"/>
        <v>0</v>
      </c>
      <c r="DDG51" s="68">
        <f t="shared" si="1811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12"/>
        <v>0</v>
      </c>
      <c r="DDO51" s="43">
        <f t="shared" si="1813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14"/>
        <v>565</v>
      </c>
      <c r="DDW51" s="43">
        <f t="shared" si="1815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16"/>
        <v>857</v>
      </c>
      <c r="DEE51" s="43">
        <f t="shared" si="1817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18"/>
        <v>0</v>
      </c>
      <c r="DEM51" s="43">
        <f t="shared" si="1819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20"/>
        <v>0</v>
      </c>
      <c r="DEU51" s="43">
        <f t="shared" si="1821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22"/>
        <v>1019</v>
      </c>
      <c r="DFC51" s="43">
        <f t="shared" si="1823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24"/>
        <v>0</v>
      </c>
      <c r="DFK51" s="43">
        <f t="shared" si="1825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26"/>
        <v>585</v>
      </c>
      <c r="DFS51" s="68">
        <f t="shared" si="1827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28"/>
        <v>925</v>
      </c>
      <c r="DGA51" s="43">
        <f t="shared" si="1829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30"/>
        <v>896</v>
      </c>
      <c r="DGI51" s="43">
        <f t="shared" si="1831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32"/>
        <v>2639</v>
      </c>
      <c r="DGQ51" s="68">
        <f t="shared" si="1833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34"/>
        <v>0</v>
      </c>
      <c r="DGY51" s="68">
        <f t="shared" si="1835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6"/>
        <v>0</v>
      </c>
      <c r="DHG51" s="68">
        <f t="shared" si="1837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38"/>
        <v>0</v>
      </c>
      <c r="DHO51" s="68">
        <f t="shared" si="1839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40"/>
        <v>259</v>
      </c>
      <c r="DHW51" s="68">
        <f t="shared" si="1841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42"/>
        <v>0</v>
      </c>
      <c r="DIE51" s="68">
        <f t="shared" si="1843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44"/>
        <v>0</v>
      </c>
      <c r="DIM51" s="68">
        <f t="shared" si="1845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6"/>
        <v>0</v>
      </c>
      <c r="DIU51" s="68">
        <f t="shared" si="1847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48"/>
        <v>312</v>
      </c>
      <c r="DJC51" s="68">
        <f t="shared" si="1849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50"/>
        <v>0</v>
      </c>
      <c r="DJK51" s="68">
        <f t="shared" si="1851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52"/>
        <v>3</v>
      </c>
      <c r="DJS51" s="68">
        <f t="shared" si="1853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54"/>
        <v>209</v>
      </c>
      <c r="DKA51" s="68">
        <f t="shared" si="1855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56"/>
        <v>817</v>
      </c>
      <c r="DKI51" s="68">
        <f t="shared" si="1857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58"/>
        <v>1257</v>
      </c>
      <c r="DKQ51" s="68">
        <f t="shared" si="1859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60"/>
        <v>612</v>
      </c>
      <c r="DKY51" s="68">
        <f t="shared" si="1861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62"/>
        <v>565</v>
      </c>
      <c r="DLG51" s="68">
        <f t="shared" si="1863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64"/>
        <v>0</v>
      </c>
      <c r="DLO51" s="68">
        <f t="shared" si="1865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6"/>
        <v>0</v>
      </c>
      <c r="DLW51" s="68">
        <f t="shared" si="1867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68"/>
        <v>0</v>
      </c>
      <c r="DME51" s="68">
        <f t="shared" si="1869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70"/>
        <v>0</v>
      </c>
      <c r="DMM51" s="68">
        <f t="shared" si="1871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72"/>
        <v>0</v>
      </c>
      <c r="DMU51" s="68">
        <f t="shared" si="1873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74"/>
        <v>920</v>
      </c>
      <c r="DNC51" s="68">
        <f t="shared" si="1875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76"/>
        <v>609</v>
      </c>
      <c r="DNK51" s="68">
        <f t="shared" si="1877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78"/>
        <v>0</v>
      </c>
      <c r="DNS51" s="68">
        <f t="shared" si="1879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80"/>
        <v>0</v>
      </c>
      <c r="DOA51" s="68">
        <f t="shared" si="1881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82"/>
        <v>0</v>
      </c>
      <c r="DOI51" s="68">
        <f t="shared" si="1883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84"/>
        <v>0</v>
      </c>
      <c r="DOQ51" s="68">
        <f t="shared" si="1885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6"/>
        <v>0</v>
      </c>
      <c r="DOY51" s="68">
        <f t="shared" si="1887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88"/>
        <v>0</v>
      </c>
      <c r="DPG51" s="68">
        <f t="shared" si="1889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90"/>
        <v>0</v>
      </c>
      <c r="DPO51" s="68">
        <f t="shared" si="1891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92"/>
        <v>0</v>
      </c>
      <c r="DPW51" s="492">
        <f t="shared" si="1893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94"/>
        <v>262</v>
      </c>
      <c r="DQE51" s="492">
        <f t="shared" si="1895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6"/>
        <v>0</v>
      </c>
      <c r="DQM51" s="492">
        <f t="shared" si="1897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98"/>
        <v>858</v>
      </c>
      <c r="DQU51" s="68">
        <f t="shared" si="1899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900"/>
        <v>520</v>
      </c>
      <c r="DRC51" s="492">
        <f t="shared" si="1901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902"/>
        <v>622</v>
      </c>
      <c r="DRK51" s="492">
        <f t="shared" si="1903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99"/>
        <v>610</v>
      </c>
      <c r="DRS51" s="68">
        <f t="shared" si="1600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601"/>
        <v>3199</v>
      </c>
      <c r="DSA51" s="68">
        <f t="shared" si="1602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603"/>
        <v>1628</v>
      </c>
      <c r="DSI51" s="68">
        <f t="shared" si="1604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605"/>
        <v>2290</v>
      </c>
      <c r="DSQ51" s="68">
        <f t="shared" si="1606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607"/>
        <v>1882</v>
      </c>
      <c r="DSY51" s="68">
        <f t="shared" si="1608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609"/>
        <v>1001</v>
      </c>
      <c r="DTG51" s="68">
        <f t="shared" si="1610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611"/>
        <v>3997</v>
      </c>
      <c r="DTO51" s="68">
        <f t="shared" si="1612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13"/>
        <v>2569</v>
      </c>
      <c r="DTW51" s="68">
        <f t="shared" si="1614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15"/>
        <v>3081</v>
      </c>
      <c r="DUE51" s="68">
        <f t="shared" si="1616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17"/>
        <v>6159</v>
      </c>
      <c r="DUM51" s="68">
        <f t="shared" si="1618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19"/>
        <v>2483</v>
      </c>
      <c r="DUU51" s="68">
        <f t="shared" si="1620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21"/>
        <v>1986</v>
      </c>
      <c r="DVC51" s="68">
        <f t="shared" si="1622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23"/>
        <v>2688</v>
      </c>
      <c r="DVK51" s="68">
        <f t="shared" si="1624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25"/>
        <v>3</v>
      </c>
      <c r="DVS51" s="68">
        <f t="shared" si="1626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27"/>
        <v>0</v>
      </c>
      <c r="DWA51" s="68">
        <f t="shared" si="1628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29"/>
        <v>1499</v>
      </c>
      <c r="DWI51" s="68">
        <f t="shared" si="1630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31"/>
        <v>3014</v>
      </c>
      <c r="DWQ51" s="68">
        <f t="shared" si="1632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33"/>
        <v>4852</v>
      </c>
      <c r="DWY51" s="68">
        <f t="shared" si="1634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35"/>
        <v>1334</v>
      </c>
      <c r="DXG51" s="68">
        <f t="shared" si="1636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37"/>
        <v>1985</v>
      </c>
      <c r="DXO51" s="68">
        <f t="shared" si="1638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8"/>
        <v>970</v>
      </c>
      <c r="DXW51" s="68">
        <f t="shared" si="1329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30"/>
        <v>1965</v>
      </c>
      <c r="DYE51" s="68">
        <f t="shared" si="1331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32"/>
        <v>1200</v>
      </c>
      <c r="DYM51" s="68">
        <f t="shared" si="1333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34"/>
        <v>590</v>
      </c>
      <c r="DYU51" s="68">
        <f t="shared" si="1335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36"/>
        <v>662</v>
      </c>
      <c r="DZC51" s="68">
        <f t="shared" si="1337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8"/>
        <v>272</v>
      </c>
      <c r="DZK51" s="68">
        <f t="shared" si="1339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40"/>
        <v>2658</v>
      </c>
      <c r="DZS51" s="68">
        <f t="shared" si="1341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42"/>
        <v>1682</v>
      </c>
      <c r="EAA51" s="68">
        <f t="shared" si="1343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4"/>
        <v>0</v>
      </c>
      <c r="EAI51" s="68">
        <f t="shared" si="1345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46"/>
        <v>1609</v>
      </c>
      <c r="EAQ51" s="68">
        <f t="shared" si="1347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8"/>
        <v>669</v>
      </c>
      <c r="EAY51" s="68">
        <f t="shared" si="1349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50"/>
        <v>309</v>
      </c>
      <c r="EBG51" s="68">
        <f t="shared" si="1351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52"/>
        <v>0</v>
      </c>
      <c r="EBO51" s="68">
        <f t="shared" si="1353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54"/>
        <v>0</v>
      </c>
      <c r="EBW51" s="68">
        <f t="shared" si="1355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56"/>
        <v>0</v>
      </c>
      <c r="ECE51" s="68">
        <f t="shared" si="1357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8"/>
        <v>998</v>
      </c>
      <c r="ECM51" s="68">
        <f t="shared" si="1359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60"/>
        <v>990</v>
      </c>
      <c r="ECU51" s="68">
        <f t="shared" si="1361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62"/>
        <v>1334</v>
      </c>
      <c r="EDC51" s="68">
        <f t="shared" si="1363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64"/>
        <v>989</v>
      </c>
      <c r="EDK51" s="68">
        <f t="shared" si="1365"/>
        <v>164.83333333333334</v>
      </c>
      <c r="EDL51" s="48"/>
      <c r="EDM51" s="49"/>
      <c r="EDN51" s="49"/>
      <c r="EDO51" s="49"/>
      <c r="EDP51" s="49"/>
      <c r="EDQ51" s="49"/>
      <c r="EDR51" s="64">
        <f t="shared" si="1366"/>
        <v>0</v>
      </c>
      <c r="EDS51" s="68">
        <f t="shared" si="1367"/>
        <v>0</v>
      </c>
      <c r="EDT51" s="48"/>
      <c r="EDU51" s="49"/>
      <c r="EDV51" s="49"/>
      <c r="EDW51" s="49"/>
      <c r="EDX51" s="49"/>
      <c r="EDY51" s="49"/>
      <c r="EDZ51" s="64">
        <f t="shared" si="1368"/>
        <v>0</v>
      </c>
      <c r="EEA51" s="68">
        <f t="shared" si="1369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70"/>
        <v>2249</v>
      </c>
      <c r="EEI51" s="68">
        <f t="shared" si="1371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72"/>
        <v>1228</v>
      </c>
      <c r="EEQ51" s="68">
        <f t="shared" si="1373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74"/>
        <v>1263</v>
      </c>
      <c r="EEY51" s="68">
        <f t="shared" si="1375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76"/>
        <v>0</v>
      </c>
      <c r="EFG51" s="68">
        <f t="shared" si="1377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8"/>
        <v>877</v>
      </c>
      <c r="EFO51" s="68">
        <f t="shared" si="1379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80"/>
        <v>882</v>
      </c>
      <c r="EFW51" s="68">
        <f t="shared" si="1381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82"/>
        <v>1308</v>
      </c>
      <c r="EGE51" s="68">
        <f t="shared" si="1383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84"/>
        <v>0</v>
      </c>
      <c r="EGM51" s="68">
        <f t="shared" si="1385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6"/>
        <v>0</v>
      </c>
      <c r="EGU51" s="68">
        <f t="shared" si="1387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8"/>
        <v>1301</v>
      </c>
      <c r="EHC51" s="68">
        <f t="shared" si="1389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90"/>
        <v>0</v>
      </c>
      <c r="EHK51" s="68">
        <f t="shared" si="1391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92"/>
        <v>0</v>
      </c>
      <c r="EHS51" s="68">
        <f t="shared" si="1393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94"/>
        <v>0</v>
      </c>
      <c r="EIA51" s="68">
        <f t="shared" si="1395"/>
        <v>0</v>
      </c>
      <c r="EIB51" s="48"/>
      <c r="EIC51" s="49"/>
      <c r="EID51" s="49"/>
      <c r="EIE51" s="49"/>
      <c r="EIF51" s="49"/>
      <c r="EIG51" s="49"/>
      <c r="EIH51" s="64">
        <f t="shared" si="1396"/>
        <v>0</v>
      </c>
      <c r="EII51" s="68">
        <f t="shared" si="1397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8"/>
        <v>1266</v>
      </c>
      <c r="EIQ51" s="68">
        <f t="shared" si="1399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400"/>
        <v>268</v>
      </c>
      <c r="EIY51" s="68">
        <f t="shared" si="1401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402"/>
        <v>2316</v>
      </c>
      <c r="EJG51" s="68">
        <f t="shared" si="1403"/>
        <v>386</v>
      </c>
      <c r="EJH51" s="48"/>
      <c r="EJI51" s="49"/>
      <c r="EJJ51" s="49"/>
      <c r="EJK51" s="49"/>
      <c r="EJL51" s="49"/>
      <c r="EJM51" s="49"/>
      <c r="EJN51" s="64">
        <f t="shared" si="1404"/>
        <v>0</v>
      </c>
      <c r="EJO51" s="68">
        <f t="shared" si="1405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406"/>
        <v>429</v>
      </c>
      <c r="EJW51" s="68">
        <f t="shared" si="1407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8"/>
        <v>1249</v>
      </c>
      <c r="EKE51" s="68">
        <f t="shared" si="1409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10"/>
        <v>0</v>
      </c>
      <c r="EKM51" s="68">
        <f t="shared" si="1411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12"/>
        <v>178</v>
      </c>
      <c r="EKU51" s="184">
        <f t="shared" si="1413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14"/>
        <v>0</v>
      </c>
      <c r="ELD51" s="211">
        <f t="shared" si="1415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6"/>
        <v>0</v>
      </c>
      <c r="ELL51" s="211">
        <f t="shared" si="1417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8"/>
        <v>813</v>
      </c>
      <c r="ELT51" s="211">
        <f t="shared" si="1419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20"/>
        <v>680</v>
      </c>
      <c r="EMB51" s="211">
        <f t="shared" si="1421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22"/>
        <v>0</v>
      </c>
      <c r="EMJ51" s="211">
        <f t="shared" si="1423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4"/>
        <v>0</v>
      </c>
      <c r="EMR51" s="211">
        <f t="shared" si="1425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6"/>
        <v>0</v>
      </c>
      <c r="EMZ51" s="211">
        <f t="shared" si="1427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8"/>
        <v>1506</v>
      </c>
      <c r="ENH51" s="211">
        <f t="shared" si="1429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30"/>
        <v>328</v>
      </c>
      <c r="ENP51" s="211">
        <f t="shared" si="1431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32"/>
        <v>0</v>
      </c>
      <c r="ENX51" s="211">
        <f t="shared" si="1433"/>
        <v>0</v>
      </c>
      <c r="ENY51" s="195"/>
      <c r="ENZ51" s="49"/>
      <c r="EOA51" s="49"/>
      <c r="EOB51" s="49"/>
      <c r="EOC51" s="49"/>
      <c r="EOD51" s="49"/>
      <c r="EOE51" s="64">
        <f t="shared" si="1434"/>
        <v>0</v>
      </c>
      <c r="EOF51" s="211">
        <f t="shared" si="1435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36"/>
        <v>0</v>
      </c>
      <c r="EOO51" s="244"/>
      <c r="EOP51" s="49"/>
      <c r="EOQ51" s="49"/>
      <c r="EOR51" s="49"/>
      <c r="EOS51" s="49"/>
      <c r="EOT51" s="49"/>
      <c r="EOU51" s="64">
        <f t="shared" si="1437"/>
        <v>0</v>
      </c>
      <c r="EOV51" s="211">
        <f t="shared" si="1438"/>
        <v>0</v>
      </c>
      <c r="EOW51" s="195"/>
      <c r="EOX51" s="49"/>
      <c r="EOY51" s="49"/>
      <c r="EOZ51" s="49"/>
      <c r="EPA51" s="49"/>
      <c r="EPB51" s="49"/>
      <c r="EPC51" s="64">
        <f t="shared" si="1439"/>
        <v>0</v>
      </c>
      <c r="EPD51" s="211">
        <f t="shared" si="1440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41"/>
        <v>440</v>
      </c>
      <c r="EPL51" s="211">
        <f t="shared" si="1442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43"/>
        <v>619</v>
      </c>
      <c r="EPT51" s="211">
        <f t="shared" si="1444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5"/>
        <v>0</v>
      </c>
      <c r="EQB51" s="211">
        <f t="shared" si="1446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47"/>
        <v>0</v>
      </c>
      <c r="EQJ51" s="211">
        <f t="shared" si="1448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9"/>
        <v>0</v>
      </c>
      <c r="EQR51" s="211">
        <f t="shared" si="1450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51"/>
        <v>666</v>
      </c>
      <c r="EQZ51" s="211">
        <f t="shared" si="1452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53"/>
        <v>0</v>
      </c>
      <c r="ERH51" s="211">
        <f t="shared" si="1454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55"/>
        <v>0</v>
      </c>
      <c r="ERP51" s="211">
        <f t="shared" si="1456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7"/>
        <v>0</v>
      </c>
      <c r="ERX51" s="211">
        <f t="shared" si="1458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9"/>
        <v>0</v>
      </c>
      <c r="ESF51" s="211">
        <f t="shared" si="1460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61"/>
        <v>634</v>
      </c>
      <c r="ESN51" s="211">
        <f t="shared" si="1462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63"/>
        <v>307</v>
      </c>
      <c r="ESV51" s="211">
        <f t="shared" si="1464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65"/>
        <v>638</v>
      </c>
      <c r="ETD51" s="211">
        <f t="shared" si="1466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7"/>
        <v>277</v>
      </c>
      <c r="ETL51" s="211">
        <f t="shared" si="1468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9"/>
        <v>0</v>
      </c>
      <c r="ETT51" s="211">
        <f t="shared" si="1470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71"/>
        <v>333</v>
      </c>
      <c r="EUB51" s="211">
        <f t="shared" si="1472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73"/>
        <v>0</v>
      </c>
      <c r="EUJ51" s="211">
        <f t="shared" si="1474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5"/>
        <v>0</v>
      </c>
      <c r="EUR51" s="211">
        <f t="shared" si="1476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77"/>
        <v>0</v>
      </c>
      <c r="EUZ51" s="211">
        <f t="shared" si="1478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9"/>
        <v>0</v>
      </c>
      <c r="EVH51" s="211">
        <f t="shared" si="1480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81"/>
        <v>0</v>
      </c>
      <c r="EVP51" s="211">
        <f t="shared" si="1482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83"/>
        <v>0</v>
      </c>
      <c r="EVX51" s="211">
        <f t="shared" si="1484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85"/>
        <v>251</v>
      </c>
      <c r="EWF51" s="211">
        <f t="shared" si="1486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7"/>
        <v>0</v>
      </c>
      <c r="EWN51" s="211">
        <f t="shared" si="1488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9"/>
        <v>0</v>
      </c>
      <c r="EWV51" s="211">
        <f t="shared" si="1490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91"/>
        <v>636</v>
      </c>
      <c r="EXD51" s="211">
        <f t="shared" si="1492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93"/>
        <v>0</v>
      </c>
      <c r="EXL51" s="211">
        <f t="shared" si="1494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95"/>
        <v>0</v>
      </c>
      <c r="EXT51" s="211">
        <f t="shared" si="1496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97"/>
        <v>0</v>
      </c>
      <c r="EYB51" s="211">
        <f t="shared" si="1498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9"/>
        <v>0</v>
      </c>
      <c r="EYJ51" s="211">
        <f t="shared" si="1500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501"/>
        <v>118</v>
      </c>
      <c r="EYR51" s="211">
        <f t="shared" si="1502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503"/>
        <v>0</v>
      </c>
      <c r="EYZ51" s="873">
        <f t="shared" si="1504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5"/>
        <v>0</v>
      </c>
      <c r="EZH51" s="873">
        <f t="shared" si="1506"/>
        <v>0</v>
      </c>
      <c r="EZI51" s="195"/>
      <c r="EZJ51" s="49">
        <v>0</v>
      </c>
      <c r="EZK51" s="49"/>
      <c r="EZL51" s="49">
        <v>0</v>
      </c>
      <c r="EZM51" s="49">
        <v>0</v>
      </c>
      <c r="EZN51" s="49">
        <v>0</v>
      </c>
      <c r="EZO51" s="872">
        <f t="shared" si="1507"/>
        <v>0</v>
      </c>
      <c r="EZP51" s="873">
        <f t="shared" si="1508"/>
        <v>0</v>
      </c>
      <c r="EZQ51" s="458">
        <v>0</v>
      </c>
      <c r="EZR51" s="83"/>
      <c r="EZS51" s="83"/>
      <c r="EZT51" s="83">
        <v>0</v>
      </c>
      <c r="EZU51" s="83">
        <v>0</v>
      </c>
      <c r="EZV51" s="83">
        <v>0</v>
      </c>
      <c r="EZW51" s="872">
        <f t="shared" si="1509"/>
        <v>0</v>
      </c>
      <c r="EZX51" s="873">
        <f t="shared" si="1510"/>
        <v>0</v>
      </c>
      <c r="EZY51" s="195">
        <v>0</v>
      </c>
      <c r="EZZ51" s="49"/>
      <c r="FAA51" s="49"/>
      <c r="FAB51" s="49"/>
      <c r="FAC51" s="49"/>
      <c r="FAD51" s="49"/>
      <c r="FAE51" s="872">
        <f t="shared" si="1511"/>
        <v>0</v>
      </c>
      <c r="FAF51" s="873">
        <f t="shared" si="1512"/>
        <v>0</v>
      </c>
    </row>
    <row r="52" spans="1:4088" s="8" customFormat="1" ht="13.5" thickBot="1" x14ac:dyDescent="0.25">
      <c r="A52" s="21">
        <v>23</v>
      </c>
      <c r="B52" s="297" t="s">
        <v>150</v>
      </c>
      <c r="C52" s="730" t="s">
        <v>329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6"/>
        <v>0</v>
      </c>
      <c r="L52" s="24">
        <f t="shared" si="2427"/>
        <v>1000</v>
      </c>
      <c r="M52" s="15">
        <f t="shared" si="2428"/>
        <v>1000</v>
      </c>
      <c r="N52" s="15">
        <v>0</v>
      </c>
      <c r="O52" s="276">
        <f t="shared" si="1229"/>
        <v>0</v>
      </c>
      <c r="P52" s="712"/>
      <c r="Q52" s="276">
        <f t="shared" ref="Q52:Q56" si="2430">IF(P52=0,0,M52/P52*6)</f>
        <v>0</v>
      </c>
      <c r="R52" s="277">
        <f t="shared" ref="R52:R56" si="2431">S52/$S$3</f>
        <v>0</v>
      </c>
      <c r="S52" s="222"/>
      <c r="T52" s="276">
        <f t="shared" ref="T52:T56" si="2432">IF(R52=0,0,M52/R52)</f>
        <v>0</v>
      </c>
      <c r="U52" s="278"/>
      <c r="V52" s="276">
        <f t="shared" si="1233"/>
        <v>0</v>
      </c>
      <c r="W52" s="279">
        <f t="shared" si="2429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6"/>
        <v>0</v>
      </c>
      <c r="ELL52" s="211">
        <f t="shared" si="1417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8"/>
        <v>510</v>
      </c>
      <c r="ELT52" s="211">
        <f t="shared" si="1419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20"/>
        <v>0</v>
      </c>
      <c r="EMB52" s="211">
        <f t="shared" si="1421"/>
        <v>0</v>
      </c>
      <c r="EMC52" s="195"/>
      <c r="EMD52" s="49"/>
      <c r="EME52" s="49"/>
      <c r="EMF52" s="49"/>
      <c r="EMG52" s="49"/>
      <c r="EMH52" s="49"/>
      <c r="EMI52" s="64">
        <f t="shared" si="1422"/>
        <v>0</v>
      </c>
      <c r="EMJ52" s="211">
        <f t="shared" si="1423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24"/>
        <v>0</v>
      </c>
      <c r="EMR52" s="211">
        <f t="shared" si="1425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26"/>
        <v>0</v>
      </c>
      <c r="EMZ52" s="211">
        <f t="shared" si="1427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8"/>
        <v>0</v>
      </c>
      <c r="ENH52" s="211">
        <f t="shared" si="1429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30"/>
        <v>231</v>
      </c>
      <c r="ENP52" s="211">
        <f t="shared" si="1431"/>
        <v>38.5</v>
      </c>
      <c r="ENQ52" s="195"/>
      <c r="ENR52" s="49"/>
      <c r="ENS52" s="49"/>
      <c r="ENT52" s="49"/>
      <c r="ENU52" s="49"/>
      <c r="ENV52" s="49"/>
      <c r="ENW52" s="64">
        <f t="shared" si="1432"/>
        <v>0</v>
      </c>
      <c r="ENX52" s="211">
        <f t="shared" si="1433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34"/>
        <v>275</v>
      </c>
      <c r="EOF52" s="211">
        <f t="shared" si="1435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36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37"/>
        <v>0</v>
      </c>
      <c r="EOV52" s="211">
        <f t="shared" si="1438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9"/>
        <v>0</v>
      </c>
      <c r="EPD52" s="211">
        <f t="shared" si="1440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41"/>
        <v>252</v>
      </c>
      <c r="EPL52" s="211">
        <f t="shared" si="1442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43"/>
        <v>950</v>
      </c>
      <c r="EPT52" s="211">
        <f t="shared" si="1444"/>
        <v>158.33333333333334</v>
      </c>
      <c r="EPU52" s="195"/>
      <c r="EPV52" s="49"/>
      <c r="EPW52" s="49"/>
      <c r="EPX52" s="49"/>
      <c r="EPY52" s="49"/>
      <c r="EPZ52" s="49"/>
      <c r="EQA52" s="64">
        <f t="shared" si="1445"/>
        <v>0</v>
      </c>
      <c r="EQB52" s="211">
        <f t="shared" si="1446"/>
        <v>0</v>
      </c>
      <c r="EQC52" s="195"/>
      <c r="EQD52" s="49"/>
      <c r="EQE52" s="49"/>
      <c r="EQF52" s="49"/>
      <c r="EQG52" s="49"/>
      <c r="EQH52" s="49"/>
      <c r="EQI52" s="64">
        <f t="shared" si="1447"/>
        <v>0</v>
      </c>
      <c r="EQJ52" s="211">
        <f t="shared" si="1448"/>
        <v>0</v>
      </c>
      <c r="EQK52" s="195"/>
      <c r="EQL52" s="49"/>
      <c r="EQM52" s="49"/>
      <c r="EQN52" s="49"/>
      <c r="EQO52" s="49"/>
      <c r="EQP52" s="49"/>
      <c r="EQQ52" s="64">
        <f t="shared" si="1449"/>
        <v>0</v>
      </c>
      <c r="EQR52" s="211">
        <f t="shared" si="1450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51"/>
        <v>0</v>
      </c>
      <c r="EQZ52" s="211">
        <f t="shared" si="1452"/>
        <v>0</v>
      </c>
      <c r="ERA52" s="195"/>
      <c r="ERB52" s="49"/>
      <c r="ERC52" s="49"/>
      <c r="ERD52" s="49"/>
      <c r="ERE52" s="49"/>
      <c r="ERF52" s="49"/>
      <c r="ERG52" s="64">
        <f t="shared" si="1453"/>
        <v>0</v>
      </c>
      <c r="ERH52" s="211">
        <f t="shared" si="1454"/>
        <v>0</v>
      </c>
      <c r="ERI52" s="195"/>
      <c r="ERJ52" s="49"/>
      <c r="ERK52" s="49"/>
      <c r="ERL52" s="49"/>
      <c r="ERM52" s="49"/>
      <c r="ERN52" s="49"/>
      <c r="ERO52" s="64">
        <f t="shared" si="1455"/>
        <v>0</v>
      </c>
      <c r="ERP52" s="211">
        <f t="shared" si="1456"/>
        <v>0</v>
      </c>
      <c r="ERQ52" s="195"/>
      <c r="ERR52" s="49"/>
      <c r="ERS52" s="49"/>
      <c r="ERT52" s="49"/>
      <c r="ERU52" s="49"/>
      <c r="ERV52" s="49"/>
      <c r="ERW52" s="64">
        <f t="shared" si="1457"/>
        <v>0</v>
      </c>
      <c r="ERX52" s="211">
        <f t="shared" si="1458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9"/>
        <v>0</v>
      </c>
      <c r="ESF52" s="211">
        <f t="shared" si="1460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61"/>
        <v>0</v>
      </c>
      <c r="ESN52" s="211">
        <f t="shared" si="1462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63"/>
        <v>307</v>
      </c>
      <c r="ESV52" s="211">
        <f t="shared" si="1464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65"/>
        <v>0</v>
      </c>
      <c r="ETD52" s="211">
        <f t="shared" si="1466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67"/>
        <v>0</v>
      </c>
      <c r="ETL52" s="211">
        <f t="shared" si="1468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9"/>
        <v>0</v>
      </c>
      <c r="ETT52" s="211">
        <f t="shared" si="1470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71"/>
        <v>0</v>
      </c>
      <c r="EUB52" s="211">
        <f t="shared" si="1472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73"/>
        <v>0</v>
      </c>
      <c r="EUJ52" s="211">
        <f t="shared" si="1474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5"/>
        <v>0</v>
      </c>
      <c r="EUR52" s="211">
        <f t="shared" si="1476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7"/>
        <v>0</v>
      </c>
      <c r="EUZ52" s="211">
        <f t="shared" si="1478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9"/>
        <v>0</v>
      </c>
      <c r="EVH52" s="211">
        <f t="shared" si="1480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81"/>
        <v>0</v>
      </c>
      <c r="EVP52" s="211">
        <f t="shared" si="1482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83"/>
        <v>0</v>
      </c>
      <c r="EVX52" s="211">
        <f t="shared" si="1484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85"/>
        <v>0</v>
      </c>
      <c r="EWF52" s="211">
        <f t="shared" si="1486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87"/>
        <v>0</v>
      </c>
      <c r="EWN52" s="211">
        <f t="shared" si="1488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9"/>
        <v>0</v>
      </c>
      <c r="EWV52" s="211">
        <f t="shared" si="1490"/>
        <v>0</v>
      </c>
      <c r="EWW52" s="195"/>
      <c r="EWX52" s="49"/>
      <c r="EWY52" s="49"/>
      <c r="EWZ52" s="49"/>
      <c r="EXA52" s="49"/>
      <c r="EXB52" s="49"/>
      <c r="EXC52" s="808">
        <f t="shared" si="1491"/>
        <v>0</v>
      </c>
      <c r="EXD52" s="211">
        <f t="shared" si="1492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93"/>
        <v>0</v>
      </c>
      <c r="EXL52" s="211">
        <f t="shared" si="1494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5"/>
        <v>0</v>
      </c>
      <c r="EXT52" s="211">
        <f t="shared" si="1496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7"/>
        <v>0</v>
      </c>
      <c r="EYB52" s="211">
        <f t="shared" si="1498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9"/>
        <v>0</v>
      </c>
      <c r="EYJ52" s="211">
        <f t="shared" si="1500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501"/>
        <v>0</v>
      </c>
      <c r="EYR52" s="211">
        <f t="shared" si="1502"/>
        <v>0</v>
      </c>
      <c r="EYS52" s="195"/>
      <c r="EYT52" s="49"/>
      <c r="EYU52" s="49"/>
      <c r="EYV52" s="49"/>
      <c r="EYW52" s="49"/>
      <c r="EYX52" s="49"/>
      <c r="EYY52" s="872">
        <f t="shared" si="1503"/>
        <v>0</v>
      </c>
      <c r="EYZ52" s="873">
        <f t="shared" si="1504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5"/>
        <v>0</v>
      </c>
      <c r="EZH52" s="873">
        <f t="shared" si="1506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7"/>
        <v>0</v>
      </c>
      <c r="EZP52" s="873">
        <f t="shared" si="1508"/>
        <v>0</v>
      </c>
      <c r="EZQ52" s="458">
        <v>0</v>
      </c>
      <c r="EZR52" s="83"/>
      <c r="EZS52" s="83"/>
      <c r="EZT52" s="83">
        <v>0</v>
      </c>
      <c r="EZU52" s="83">
        <v>0</v>
      </c>
      <c r="EZV52" s="83">
        <v>0</v>
      </c>
      <c r="EZW52" s="872">
        <f t="shared" si="1509"/>
        <v>0</v>
      </c>
      <c r="EZX52" s="873">
        <f t="shared" si="1510"/>
        <v>0</v>
      </c>
      <c r="EZY52" s="195">
        <v>0</v>
      </c>
      <c r="EZZ52" s="49"/>
      <c r="FAA52" s="49"/>
      <c r="FAB52" s="49"/>
      <c r="FAC52" s="49"/>
      <c r="FAD52" s="49"/>
      <c r="FAE52" s="872">
        <f t="shared" si="1511"/>
        <v>0</v>
      </c>
      <c r="FAF52" s="873">
        <f t="shared" si="1512"/>
        <v>0</v>
      </c>
    </row>
    <row r="53" spans="1:4088" s="8" customFormat="1" ht="13.5" thickBot="1" x14ac:dyDescent="0.25">
      <c r="A53" s="21">
        <v>24</v>
      </c>
      <c r="B53" s="297" t="s">
        <v>333</v>
      </c>
      <c r="C53" s="730" t="s">
        <v>331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6"/>
        <v>0</v>
      </c>
      <c r="L53" s="24">
        <f t="shared" si="2427"/>
        <v>2010</v>
      </c>
      <c r="M53" s="15">
        <f t="shared" si="2428"/>
        <v>2010</v>
      </c>
      <c r="N53" s="15">
        <v>0</v>
      </c>
      <c r="O53" s="276">
        <f t="shared" si="1229"/>
        <v>0</v>
      </c>
      <c r="P53" s="712"/>
      <c r="Q53" s="276">
        <f t="shared" si="2430"/>
        <v>0</v>
      </c>
      <c r="R53" s="277">
        <f t="shared" si="2431"/>
        <v>0</v>
      </c>
      <c r="S53" s="222"/>
      <c r="T53" s="276">
        <f t="shared" si="2432"/>
        <v>0</v>
      </c>
      <c r="U53" s="278"/>
      <c r="V53" s="276">
        <f t="shared" si="1233"/>
        <v>0</v>
      </c>
      <c r="W53" s="279">
        <f t="shared" si="2429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16"/>
        <v>1750</v>
      </c>
      <c r="ELL53" s="211">
        <f t="shared" si="1417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8"/>
        <v>666</v>
      </c>
      <c r="ELT53" s="211">
        <f t="shared" si="1419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20"/>
        <v>0</v>
      </c>
      <c r="EMB53" s="211">
        <f t="shared" si="1421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22"/>
        <v>0</v>
      </c>
      <c r="EMJ53" s="211">
        <f t="shared" si="1423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24"/>
        <v>0</v>
      </c>
      <c r="EMR53" s="211">
        <f t="shared" si="1425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6"/>
        <v>0</v>
      </c>
      <c r="EMZ53" s="211">
        <f t="shared" si="1427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8"/>
        <v>1926</v>
      </c>
      <c r="ENH53" s="211">
        <f t="shared" si="1429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30"/>
        <v>69</v>
      </c>
      <c r="ENP53" s="211">
        <f t="shared" si="1431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32"/>
        <v>153</v>
      </c>
      <c r="ENX53" s="211">
        <f t="shared" si="1433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34"/>
        <v>0</v>
      </c>
      <c r="EOF53" s="211">
        <f t="shared" si="1435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36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37"/>
        <v>0</v>
      </c>
      <c r="EOV53" s="211">
        <f t="shared" si="1438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9"/>
        <v>0</v>
      </c>
      <c r="EPD53" s="211">
        <f t="shared" si="1440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41"/>
        <v>0</v>
      </c>
      <c r="EPL53" s="211">
        <f t="shared" si="1442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43"/>
        <v>0</v>
      </c>
      <c r="EPT53" s="211">
        <f t="shared" si="1444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45"/>
        <v>369</v>
      </c>
      <c r="EQB53" s="211">
        <f t="shared" si="1446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47"/>
        <v>692</v>
      </c>
      <c r="EQJ53" s="211">
        <f t="shared" si="1448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9"/>
        <v>0</v>
      </c>
      <c r="EQR53" s="211">
        <f t="shared" si="1450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51"/>
        <v>0</v>
      </c>
      <c r="EQZ53" s="211">
        <f t="shared" si="1452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53"/>
        <v>0</v>
      </c>
      <c r="ERH53" s="211">
        <f t="shared" si="1454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55"/>
        <v>0</v>
      </c>
      <c r="ERP53" s="211">
        <f t="shared" si="1456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57"/>
        <v>0</v>
      </c>
      <c r="ERX53" s="211">
        <f t="shared" si="1458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9"/>
        <v>0</v>
      </c>
      <c r="ESF53" s="211">
        <f t="shared" si="1460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61"/>
        <v>0</v>
      </c>
      <c r="ESN53" s="211">
        <f t="shared" si="1462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63"/>
        <v>0</v>
      </c>
      <c r="ESV53" s="211">
        <f t="shared" si="1464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65"/>
        <v>0</v>
      </c>
      <c r="ETD53" s="211">
        <f t="shared" si="1466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67"/>
        <v>0</v>
      </c>
      <c r="ETL53" s="211">
        <f t="shared" si="1468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9"/>
        <v>0</v>
      </c>
      <c r="ETT53" s="211">
        <f t="shared" si="1470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71"/>
        <v>0</v>
      </c>
      <c r="EUB53" s="211">
        <f t="shared" si="1472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73"/>
        <v>0</v>
      </c>
      <c r="EUJ53" s="211">
        <f t="shared" si="1474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5"/>
        <v>0</v>
      </c>
      <c r="EUR53" s="211">
        <f t="shared" si="1476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7"/>
        <v>0</v>
      </c>
      <c r="EUZ53" s="211">
        <f t="shared" si="1478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9"/>
        <v>0</v>
      </c>
      <c r="EVH53" s="211">
        <f t="shared" si="1480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81"/>
        <v>0</v>
      </c>
      <c r="EVP53" s="211">
        <f t="shared" si="1482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83"/>
        <v>0</v>
      </c>
      <c r="EVX53" s="211">
        <f t="shared" si="1484"/>
        <v>0</v>
      </c>
      <c r="EVY53" s="195"/>
      <c r="EVZ53" s="49"/>
      <c r="EWA53" s="49"/>
      <c r="EWB53" s="49"/>
      <c r="EWC53" s="49"/>
      <c r="EWD53" s="49"/>
      <c r="EWE53" s="808">
        <f t="shared" si="1485"/>
        <v>0</v>
      </c>
      <c r="EWF53" s="211">
        <f t="shared" si="1486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7"/>
        <v>0</v>
      </c>
      <c r="EWN53" s="211">
        <f t="shared" si="1488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9"/>
        <v>290</v>
      </c>
      <c r="EWV53" s="211">
        <f t="shared" si="1490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91"/>
        <v>0</v>
      </c>
      <c r="EXD53" s="211">
        <f t="shared" si="1492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93"/>
        <v>0</v>
      </c>
      <c r="EXL53" s="211">
        <f t="shared" si="1494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5"/>
        <v>0</v>
      </c>
      <c r="EXT53" s="211">
        <f t="shared" si="1496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97"/>
        <v>0</v>
      </c>
      <c r="EYB53" s="211">
        <f t="shared" si="1498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9"/>
        <v>0</v>
      </c>
      <c r="EYJ53" s="211">
        <f t="shared" si="1500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501"/>
        <v>333</v>
      </c>
      <c r="EYR53" s="211">
        <f t="shared" si="1502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503"/>
        <v>1122</v>
      </c>
      <c r="EYZ53" s="873">
        <f t="shared" si="1504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505"/>
        <v>0</v>
      </c>
      <c r="EZH53" s="873">
        <f t="shared" si="1506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7"/>
        <v>0</v>
      </c>
      <c r="EZP53" s="873">
        <f t="shared" si="1508"/>
        <v>0</v>
      </c>
      <c r="EZQ53" s="458">
        <v>0</v>
      </c>
      <c r="EZR53" s="83"/>
      <c r="EZS53" s="83"/>
      <c r="EZT53" s="83">
        <v>0</v>
      </c>
      <c r="EZU53" s="83"/>
      <c r="EZV53" s="83">
        <v>0</v>
      </c>
      <c r="EZW53" s="872">
        <f t="shared" si="1509"/>
        <v>0</v>
      </c>
      <c r="EZX53" s="873">
        <f t="shared" si="1510"/>
        <v>0</v>
      </c>
      <c r="EZY53" s="195">
        <v>0</v>
      </c>
      <c r="EZZ53" s="49"/>
      <c r="FAA53" s="49"/>
      <c r="FAB53" s="49"/>
      <c r="FAC53" s="49"/>
      <c r="FAD53" s="49"/>
      <c r="FAE53" s="872">
        <f t="shared" si="1511"/>
        <v>0</v>
      </c>
      <c r="FAF53" s="873">
        <f t="shared" si="1512"/>
        <v>0</v>
      </c>
    </row>
    <row r="54" spans="1:4088" s="8" customFormat="1" ht="13.5" thickBot="1" x14ac:dyDescent="0.25">
      <c r="A54" s="21">
        <v>25</v>
      </c>
      <c r="B54" s="297" t="s">
        <v>334</v>
      </c>
      <c r="C54" s="730" t="s">
        <v>330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6"/>
        <v>0</v>
      </c>
      <c r="L54" s="24">
        <f t="shared" si="2427"/>
        <v>2305</v>
      </c>
      <c r="M54" s="15">
        <f t="shared" si="2428"/>
        <v>2305</v>
      </c>
      <c r="N54" s="15">
        <v>0</v>
      </c>
      <c r="O54" s="276">
        <f t="shared" si="1229"/>
        <v>0</v>
      </c>
      <c r="P54" s="712"/>
      <c r="Q54" s="276">
        <f t="shared" si="2430"/>
        <v>0</v>
      </c>
      <c r="R54" s="277">
        <f t="shared" si="2431"/>
        <v>0</v>
      </c>
      <c r="S54" s="222"/>
      <c r="T54" s="276">
        <f t="shared" si="2432"/>
        <v>0</v>
      </c>
      <c r="U54" s="278"/>
      <c r="V54" s="276">
        <f t="shared" si="1233"/>
        <v>0</v>
      </c>
      <c r="W54" s="279">
        <f t="shared" si="2429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16"/>
        <v>1967</v>
      </c>
      <c r="ELL54" s="211">
        <f t="shared" si="1417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8"/>
        <v>0</v>
      </c>
      <c r="ELT54" s="211">
        <f t="shared" si="1419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20"/>
        <v>0</v>
      </c>
      <c r="EMB54" s="211">
        <f t="shared" si="1421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22"/>
        <v>421</v>
      </c>
      <c r="EMJ54" s="211">
        <f t="shared" si="1423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24"/>
        <v>1356</v>
      </c>
      <c r="EMR54" s="211">
        <f t="shared" si="1425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26"/>
        <v>115</v>
      </c>
      <c r="EMZ54" s="211">
        <f t="shared" si="1427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8"/>
        <v>0</v>
      </c>
      <c r="ENH54" s="211">
        <f t="shared" si="1429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30"/>
        <v>333</v>
      </c>
      <c r="ENP54" s="211">
        <f t="shared" si="1431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32"/>
        <v>0</v>
      </c>
      <c r="ENX54" s="211">
        <f t="shared" si="1433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4"/>
        <v>0</v>
      </c>
      <c r="EOF54" s="211">
        <f t="shared" si="1435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36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37"/>
        <v>651</v>
      </c>
      <c r="EOV54" s="211">
        <f t="shared" si="1438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9"/>
        <v>0</v>
      </c>
      <c r="EPD54" s="211">
        <f t="shared" si="1440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41"/>
        <v>0</v>
      </c>
      <c r="EPL54" s="211">
        <f t="shared" si="1442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43"/>
        <v>0</v>
      </c>
      <c r="EPT54" s="211">
        <f t="shared" si="1444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45"/>
        <v>810</v>
      </c>
      <c r="EQB54" s="211">
        <f t="shared" si="1446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47"/>
        <v>0</v>
      </c>
      <c r="EQJ54" s="211">
        <f t="shared" si="1448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9"/>
        <v>0</v>
      </c>
      <c r="EQR54" s="211">
        <f t="shared" si="1450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51"/>
        <v>0</v>
      </c>
      <c r="EQZ54" s="211">
        <f t="shared" si="1452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53"/>
        <v>0</v>
      </c>
      <c r="ERH54" s="211">
        <f t="shared" si="1454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5"/>
        <v>0</v>
      </c>
      <c r="ERP54" s="211">
        <f t="shared" si="1456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57"/>
        <v>0</v>
      </c>
      <c r="ERX54" s="211">
        <f t="shared" si="1458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9"/>
        <v>0</v>
      </c>
      <c r="ESF54" s="211">
        <f t="shared" si="1460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61"/>
        <v>0</v>
      </c>
      <c r="ESN54" s="211">
        <f t="shared" si="1462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63"/>
        <v>0</v>
      </c>
      <c r="ESV54" s="211">
        <f t="shared" si="1464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65"/>
        <v>0</v>
      </c>
      <c r="ETD54" s="211">
        <f t="shared" si="1466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67"/>
        <v>253</v>
      </c>
      <c r="ETL54" s="211">
        <f t="shared" si="1468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9"/>
        <v>0</v>
      </c>
      <c r="ETT54" s="211">
        <f t="shared" si="1470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71"/>
        <v>0</v>
      </c>
      <c r="EUB54" s="211">
        <f t="shared" si="1472"/>
        <v>0</v>
      </c>
      <c r="EUC54" s="458"/>
      <c r="EUD54" s="83"/>
      <c r="EUE54" s="83"/>
      <c r="EUF54" s="83"/>
      <c r="EUG54" s="83"/>
      <c r="EUH54" s="83"/>
      <c r="EUI54" s="808">
        <f t="shared" si="1473"/>
        <v>0</v>
      </c>
      <c r="EUJ54" s="211">
        <f t="shared" si="1474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75"/>
        <v>0</v>
      </c>
      <c r="EUR54" s="211">
        <f t="shared" si="1476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7"/>
        <v>0</v>
      </c>
      <c r="EUZ54" s="211">
        <f t="shared" si="1478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9"/>
        <v>0</v>
      </c>
      <c r="EVH54" s="211">
        <f t="shared" si="1480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81"/>
        <v>0</v>
      </c>
      <c r="EVP54" s="211">
        <f t="shared" si="1482"/>
        <v>0</v>
      </c>
      <c r="EVQ54" s="195"/>
      <c r="EVR54" s="49"/>
      <c r="EVS54" s="49"/>
      <c r="EVT54" s="49"/>
      <c r="EVU54" s="49"/>
      <c r="EVV54" s="49"/>
      <c r="EVW54" s="808">
        <f t="shared" si="1483"/>
        <v>0</v>
      </c>
      <c r="EVX54" s="211">
        <f t="shared" si="1484"/>
        <v>0</v>
      </c>
      <c r="EVY54" s="195"/>
      <c r="EVZ54" s="49"/>
      <c r="EWA54" s="49"/>
      <c r="EWB54" s="49"/>
      <c r="EWC54" s="49"/>
      <c r="EWD54" s="49"/>
      <c r="EWE54" s="808">
        <f t="shared" si="1485"/>
        <v>0</v>
      </c>
      <c r="EWF54" s="211">
        <f t="shared" si="1486"/>
        <v>0</v>
      </c>
      <c r="EWG54" s="195"/>
      <c r="EWH54" s="49"/>
      <c r="EWI54" s="49"/>
      <c r="EWJ54" s="49"/>
      <c r="EWK54" s="49"/>
      <c r="EWL54" s="49"/>
      <c r="EWM54" s="808">
        <f t="shared" si="1487"/>
        <v>0</v>
      </c>
      <c r="EWN54" s="211">
        <f t="shared" si="1488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9"/>
        <v>0</v>
      </c>
      <c r="EWV54" s="211">
        <f t="shared" si="1490"/>
        <v>0</v>
      </c>
      <c r="EWW54" s="195"/>
      <c r="EWX54" s="49"/>
      <c r="EWY54" s="49"/>
      <c r="EWZ54" s="49"/>
      <c r="EXA54" s="49"/>
      <c r="EXB54" s="49"/>
      <c r="EXC54" s="808">
        <f t="shared" si="1491"/>
        <v>0</v>
      </c>
      <c r="EXD54" s="211">
        <f t="shared" si="1492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93"/>
        <v>332</v>
      </c>
      <c r="EXL54" s="211">
        <f t="shared" si="1494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95"/>
        <v>628</v>
      </c>
      <c r="EXT54" s="211">
        <f t="shared" si="1496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97"/>
        <v>1262</v>
      </c>
      <c r="EYB54" s="211">
        <f t="shared" si="1498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9"/>
        <v>0</v>
      </c>
      <c r="EYJ54" s="211">
        <f t="shared" si="1500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501"/>
        <v>0</v>
      </c>
      <c r="EYR54" s="211">
        <f t="shared" si="1502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503"/>
        <v>0</v>
      </c>
      <c r="EYZ54" s="873">
        <f t="shared" si="1504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5"/>
        <v>0</v>
      </c>
      <c r="EZH54" s="873">
        <f t="shared" si="1506"/>
        <v>0</v>
      </c>
      <c r="EZI54" s="195"/>
      <c r="EZJ54" s="49">
        <v>0</v>
      </c>
      <c r="EZK54" s="49"/>
      <c r="EZL54" s="49">
        <v>0</v>
      </c>
      <c r="EZM54" s="49"/>
      <c r="EZN54" s="49">
        <v>0</v>
      </c>
      <c r="EZO54" s="872">
        <f t="shared" si="1507"/>
        <v>0</v>
      </c>
      <c r="EZP54" s="873">
        <f t="shared" si="1508"/>
        <v>0</v>
      </c>
      <c r="EZQ54" s="458"/>
      <c r="EZR54" s="83"/>
      <c r="EZS54" s="83"/>
      <c r="EZT54" s="83">
        <v>0</v>
      </c>
      <c r="EZU54" s="83"/>
      <c r="EZV54" s="83">
        <v>0</v>
      </c>
      <c r="EZW54" s="872">
        <f t="shared" si="1509"/>
        <v>0</v>
      </c>
      <c r="EZX54" s="873">
        <f t="shared" si="1510"/>
        <v>0</v>
      </c>
      <c r="EZY54" s="195">
        <v>0</v>
      </c>
      <c r="EZZ54" s="49"/>
      <c r="FAA54" s="49"/>
      <c r="FAB54" s="49"/>
      <c r="FAC54" s="49"/>
      <c r="FAD54" s="49"/>
      <c r="FAE54" s="872">
        <f t="shared" si="1511"/>
        <v>0</v>
      </c>
      <c r="FAF54" s="873">
        <f t="shared" si="1512"/>
        <v>0</v>
      </c>
    </row>
    <row r="55" spans="1:4088" s="8" customFormat="1" ht="13.5" thickBot="1" x14ac:dyDescent="0.25">
      <c r="A55" s="21">
        <v>26</v>
      </c>
      <c r="B55" s="297" t="s">
        <v>334</v>
      </c>
      <c r="C55" s="730" t="s">
        <v>350</v>
      </c>
      <c r="D55" s="297">
        <v>25</v>
      </c>
      <c r="E55" s="24"/>
      <c r="F55" s="24">
        <v>2174</v>
      </c>
      <c r="G55" s="24"/>
      <c r="H55" s="24"/>
      <c r="I55" s="360"/>
      <c r="J55" s="360">
        <f>SUMIF(SUMPK!$B:$B,$B:$B,SUMPK!$O:$O)</f>
        <v>0</v>
      </c>
      <c r="K55" s="24">
        <f t="shared" si="1226"/>
        <v>0</v>
      </c>
      <c r="L55" s="24">
        <f t="shared" ref="L55:L57" si="2433">F55+H55-J55</f>
        <v>2174</v>
      </c>
      <c r="M55" s="15">
        <f t="shared" ref="M55:M57" si="2434">K55+L55</f>
        <v>2174</v>
      </c>
      <c r="N55" s="15">
        <v>39.5</v>
      </c>
      <c r="O55" s="276"/>
      <c r="P55" s="712"/>
      <c r="Q55" s="276">
        <f t="shared" si="2430"/>
        <v>0</v>
      </c>
      <c r="R55" s="277">
        <f t="shared" si="2431"/>
        <v>0</v>
      </c>
      <c r="S55" s="222"/>
      <c r="T55" s="276">
        <f t="shared" si="2432"/>
        <v>0</v>
      </c>
      <c r="U55" s="278"/>
      <c r="V55" s="276">
        <f t="shared" si="1233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47"/>
        <v>0</v>
      </c>
      <c r="EQJ55" s="211">
        <f t="shared" si="1448"/>
        <v>0</v>
      </c>
      <c r="EQK55" s="195"/>
      <c r="EQL55" s="49"/>
      <c r="EQM55" s="49"/>
      <c r="EQN55" s="49"/>
      <c r="EQO55" s="49"/>
      <c r="EQP55" s="49"/>
      <c r="EQQ55" s="64">
        <f t="shared" si="1449"/>
        <v>0</v>
      </c>
      <c r="EQR55" s="211">
        <f t="shared" si="1450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51"/>
        <v>0</v>
      </c>
      <c r="EQZ55" s="211">
        <f t="shared" si="1452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53"/>
        <v>0</v>
      </c>
      <c r="ERH55" s="211">
        <f t="shared" si="1454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5"/>
        <v>0</v>
      </c>
      <c r="ERP55" s="211">
        <f t="shared" si="1456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7"/>
        <v>0</v>
      </c>
      <c r="ERX55" s="211">
        <f t="shared" si="1458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9"/>
        <v>0</v>
      </c>
      <c r="ESF55" s="211">
        <f t="shared" si="1460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61"/>
        <v>600</v>
      </c>
      <c r="ESN55" s="211">
        <f t="shared" si="1462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63"/>
        <v>622</v>
      </c>
      <c r="ESV55" s="211">
        <f t="shared" si="1464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65"/>
        <v>0</v>
      </c>
      <c r="ETD55" s="211">
        <f t="shared" si="1466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67"/>
        <v>855</v>
      </c>
      <c r="ETL55" s="211">
        <f t="shared" si="1468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9"/>
        <v>590</v>
      </c>
      <c r="ETT55" s="211">
        <f t="shared" si="1470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71"/>
        <v>604</v>
      </c>
      <c r="EUB55" s="211">
        <f t="shared" si="1472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73"/>
        <v>0</v>
      </c>
      <c r="EUJ55" s="211">
        <f t="shared" si="1474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75"/>
        <v>269</v>
      </c>
      <c r="EUR55" s="211">
        <f t="shared" si="1476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7"/>
        <v>0</v>
      </c>
      <c r="EUZ55" s="211">
        <f t="shared" si="1478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9"/>
        <v>0</v>
      </c>
      <c r="EVH55" s="211">
        <f t="shared" si="1480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81"/>
        <v>0</v>
      </c>
      <c r="EVP55" s="211">
        <f t="shared" si="1482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83"/>
        <v>0</v>
      </c>
      <c r="EVX55" s="211">
        <f t="shared" si="1484"/>
        <v>0</v>
      </c>
      <c r="EVY55" s="195"/>
      <c r="EVZ55" s="49"/>
      <c r="EWA55" s="49"/>
      <c r="EWB55" s="49"/>
      <c r="EWC55" s="49"/>
      <c r="EWD55" s="49"/>
      <c r="EWE55" s="808">
        <f t="shared" si="1485"/>
        <v>0</v>
      </c>
      <c r="EWF55" s="211">
        <f t="shared" si="1486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87"/>
        <v>0</v>
      </c>
      <c r="EWN55" s="211">
        <f t="shared" si="1488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9"/>
        <v>0</v>
      </c>
      <c r="EWV55" s="211">
        <f t="shared" si="1490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91"/>
        <v>0</v>
      </c>
      <c r="EXD55" s="211">
        <f t="shared" si="1492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93"/>
        <v>0</v>
      </c>
      <c r="EXL55" s="211">
        <f t="shared" si="1494"/>
        <v>0</v>
      </c>
      <c r="EXM55" s="458"/>
      <c r="EXN55" s="83"/>
      <c r="EXO55" s="83"/>
      <c r="EXP55" s="83"/>
      <c r="EXQ55" s="83"/>
      <c r="EXR55" s="83"/>
      <c r="EXS55" s="808">
        <f t="shared" si="1495"/>
        <v>0</v>
      </c>
      <c r="EXT55" s="211">
        <f t="shared" si="1496"/>
        <v>0</v>
      </c>
      <c r="EXU55" s="195"/>
      <c r="EXV55" s="49"/>
      <c r="EXW55" s="49"/>
      <c r="EXX55" s="49"/>
      <c r="EXY55" s="49"/>
      <c r="EXZ55" s="49"/>
      <c r="EYA55" s="808">
        <f t="shared" si="1497"/>
        <v>0</v>
      </c>
      <c r="EYB55" s="211">
        <f t="shared" si="1498"/>
        <v>0</v>
      </c>
      <c r="EYC55" s="195"/>
      <c r="EYD55" s="49"/>
      <c r="EYE55" s="49"/>
      <c r="EYF55" s="49"/>
      <c r="EYG55" s="49"/>
      <c r="EYH55" s="49"/>
      <c r="EYI55" s="808">
        <f t="shared" si="1499"/>
        <v>0</v>
      </c>
      <c r="EYJ55" s="211">
        <f t="shared" si="1500"/>
        <v>0</v>
      </c>
      <c r="EYK55" s="195"/>
      <c r="EYL55" s="49"/>
      <c r="EYM55" s="49"/>
      <c r="EYN55" s="49"/>
      <c r="EYO55" s="49"/>
      <c r="EYP55" s="49"/>
      <c r="EYQ55" s="808">
        <f t="shared" si="1501"/>
        <v>0</v>
      </c>
      <c r="EYR55" s="211">
        <f t="shared" si="1502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503"/>
        <v>0</v>
      </c>
      <c r="EYZ55" s="873">
        <f t="shared" si="1504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5"/>
        <v>0</v>
      </c>
      <c r="EZH55" s="873">
        <f t="shared" si="1506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507"/>
        <v>0</v>
      </c>
      <c r="EZP55" s="873">
        <f t="shared" si="1508"/>
        <v>0</v>
      </c>
      <c r="EZQ55" s="458">
        <v>237</v>
      </c>
      <c r="EZR55" s="83"/>
      <c r="EZS55" s="83"/>
      <c r="EZT55" s="83">
        <v>0</v>
      </c>
      <c r="EZU55" s="83"/>
      <c r="EZV55" s="83">
        <v>0</v>
      </c>
      <c r="EZW55" s="872">
        <f t="shared" si="1509"/>
        <v>237</v>
      </c>
      <c r="EZX55" s="873">
        <f t="shared" si="1510"/>
        <v>39.5</v>
      </c>
      <c r="EZY55" s="195">
        <v>0</v>
      </c>
      <c r="EZZ55" s="49"/>
      <c r="FAA55" s="49"/>
      <c r="FAB55" s="49"/>
      <c r="FAC55" s="49"/>
      <c r="FAD55" s="49"/>
      <c r="FAE55" s="872">
        <f t="shared" si="1511"/>
        <v>0</v>
      </c>
      <c r="FAF55" s="873">
        <f t="shared" si="1512"/>
        <v>0</v>
      </c>
    </row>
    <row r="56" spans="1:4088" s="8" customFormat="1" ht="13.5" thickBot="1" x14ac:dyDescent="0.25">
      <c r="A56" s="21">
        <v>27</v>
      </c>
      <c r="B56" s="297" t="s">
        <v>336</v>
      </c>
      <c r="C56" s="730" t="s">
        <v>337</v>
      </c>
      <c r="D56" s="297">
        <v>25</v>
      </c>
      <c r="E56" s="24"/>
      <c r="F56" s="24">
        <v>3394</v>
      </c>
      <c r="G56" s="24"/>
      <c r="H56" s="24"/>
      <c r="I56" s="360"/>
      <c r="J56" s="360">
        <f>SUMIF(SUMPK!$B:$B,$B:$B,SUMPK!$O:$O)</f>
        <v>0</v>
      </c>
      <c r="K56" s="24">
        <f t="shared" si="1226"/>
        <v>0</v>
      </c>
      <c r="L56" s="24">
        <f t="shared" si="2433"/>
        <v>3394</v>
      </c>
      <c r="M56" s="15">
        <f t="shared" si="2434"/>
        <v>3394</v>
      </c>
      <c r="N56" s="15">
        <v>0</v>
      </c>
      <c r="O56" s="276"/>
      <c r="P56" s="712"/>
      <c r="Q56" s="276">
        <f t="shared" si="2430"/>
        <v>0</v>
      </c>
      <c r="R56" s="277">
        <f t="shared" si="2431"/>
        <v>0</v>
      </c>
      <c r="S56" s="222"/>
      <c r="T56" s="276">
        <f t="shared" si="2432"/>
        <v>0</v>
      </c>
      <c r="U56" s="278"/>
      <c r="V56" s="276">
        <f t="shared" si="1233"/>
        <v>0</v>
      </c>
      <c r="W56" s="279">
        <f t="shared" si="2429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20"/>
        <v>0</v>
      </c>
      <c r="EMB56" s="211">
        <f t="shared" si="1421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22"/>
        <v>0</v>
      </c>
      <c r="EMJ56" s="211">
        <f t="shared" si="1423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24"/>
        <v>0</v>
      </c>
      <c r="EMR56" s="211">
        <f t="shared" si="1425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26"/>
        <v>0</v>
      </c>
      <c r="EMZ56" s="211">
        <f t="shared" si="1427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8"/>
        <v>0</v>
      </c>
      <c r="ENH56" s="211">
        <f t="shared" si="1429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30"/>
        <v>0</v>
      </c>
      <c r="ENP56" s="211">
        <f t="shared" si="1431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32"/>
        <v>0</v>
      </c>
      <c r="ENX56" s="211">
        <f t="shared" si="1433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34"/>
        <v>2000</v>
      </c>
      <c r="EOF56" s="211">
        <f t="shared" si="1435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36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37"/>
        <v>0</v>
      </c>
      <c r="EOV56" s="211">
        <f t="shared" si="1438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9"/>
        <v>227</v>
      </c>
      <c r="EPD56" s="211">
        <f t="shared" si="1440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41"/>
        <v>348</v>
      </c>
      <c r="EPL56" s="211">
        <f t="shared" si="1442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43"/>
        <v>861</v>
      </c>
      <c r="EPT56" s="211">
        <f t="shared" si="1444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45"/>
        <v>613</v>
      </c>
      <c r="EQB56" s="211">
        <f t="shared" si="1446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47"/>
        <v>918</v>
      </c>
      <c r="EQJ56" s="211">
        <f t="shared" si="1448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9"/>
        <v>214</v>
      </c>
      <c r="EQR56" s="211">
        <f t="shared" si="1450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51"/>
        <v>1244</v>
      </c>
      <c r="EQZ56" s="211">
        <f t="shared" si="1452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53"/>
        <v>1597</v>
      </c>
      <c r="ERH56" s="211">
        <f t="shared" si="1454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55"/>
        <v>2233</v>
      </c>
      <c r="ERP56" s="211">
        <f t="shared" si="1456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57"/>
        <v>1340</v>
      </c>
      <c r="ERX56" s="211">
        <f t="shared" si="1458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9"/>
        <v>0</v>
      </c>
      <c r="ESF56" s="211">
        <f t="shared" si="1460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61"/>
        <v>981</v>
      </c>
      <c r="ESN56" s="211">
        <f t="shared" si="1462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63"/>
        <v>1334</v>
      </c>
      <c r="ESV56" s="211">
        <f t="shared" si="1464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65"/>
        <v>1065</v>
      </c>
      <c r="ETD56" s="211">
        <f t="shared" si="1466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67"/>
        <v>1226</v>
      </c>
      <c r="ETL56" s="211">
        <f t="shared" si="1468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9"/>
        <v>1250</v>
      </c>
      <c r="ETT56" s="211">
        <f t="shared" si="1470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71"/>
        <v>440</v>
      </c>
      <c r="EUB56" s="211">
        <f t="shared" si="1472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73"/>
        <v>632</v>
      </c>
      <c r="EUJ56" s="211">
        <f t="shared" si="1474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75"/>
        <v>662</v>
      </c>
      <c r="EUR56" s="211">
        <f t="shared" si="1476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77"/>
        <v>613</v>
      </c>
      <c r="EUZ56" s="211">
        <f t="shared" si="1478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9"/>
        <v>0</v>
      </c>
      <c r="EVH56" s="211">
        <f t="shared" si="1480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81"/>
        <v>0</v>
      </c>
      <c r="EVP56" s="211">
        <f t="shared" si="1482"/>
        <v>0</v>
      </c>
      <c r="EVQ56" s="195"/>
      <c r="EVR56" s="49"/>
      <c r="EVS56" s="49"/>
      <c r="EVT56" s="49"/>
      <c r="EVU56" s="49"/>
      <c r="EVV56" s="49"/>
      <c r="EVW56" s="808">
        <f t="shared" si="1483"/>
        <v>0</v>
      </c>
      <c r="EVX56" s="211">
        <f t="shared" si="1484"/>
        <v>0</v>
      </c>
      <c r="EVY56" s="195"/>
      <c r="EVZ56" s="49"/>
      <c r="EWA56" s="49"/>
      <c r="EWB56" s="49"/>
      <c r="EWC56" s="49"/>
      <c r="EWD56" s="49"/>
      <c r="EWE56" s="808">
        <f t="shared" si="1485"/>
        <v>0</v>
      </c>
      <c r="EWF56" s="211">
        <f t="shared" si="1486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7"/>
        <v>0</v>
      </c>
      <c r="EWN56" s="211">
        <f t="shared" si="1488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9"/>
        <v>0</v>
      </c>
      <c r="EWV56" s="211">
        <f t="shared" si="1490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91"/>
        <v>0</v>
      </c>
      <c r="EXD56" s="211">
        <f t="shared" si="1492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93"/>
        <v>627</v>
      </c>
      <c r="EXL56" s="211">
        <f t="shared" si="1494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95"/>
        <v>0</v>
      </c>
      <c r="EXT56" s="211">
        <f t="shared" si="1496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97"/>
        <v>0</v>
      </c>
      <c r="EYB56" s="211">
        <f t="shared" si="1498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9"/>
        <v>981</v>
      </c>
      <c r="EYJ56" s="211">
        <f t="shared" si="1500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501"/>
        <v>0</v>
      </c>
      <c r="EYR56" s="211">
        <f t="shared" si="1502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503"/>
        <v>0</v>
      </c>
      <c r="EYZ56" s="873">
        <f t="shared" si="1504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505"/>
        <v>0</v>
      </c>
      <c r="EZH56" s="873">
        <f t="shared" si="1506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507"/>
        <v>637</v>
      </c>
      <c r="EZP56" s="873">
        <f t="shared" si="1508"/>
        <v>106.16666666666667</v>
      </c>
      <c r="EZQ56" s="458">
        <v>0</v>
      </c>
      <c r="EZR56" s="83"/>
      <c r="EZS56" s="83"/>
      <c r="EZT56" s="83">
        <v>0</v>
      </c>
      <c r="EZU56" s="83"/>
      <c r="EZV56" s="83">
        <v>0</v>
      </c>
      <c r="EZW56" s="872">
        <f t="shared" si="1509"/>
        <v>0</v>
      </c>
      <c r="EZX56" s="873">
        <f t="shared" si="1510"/>
        <v>0</v>
      </c>
      <c r="EZY56" s="195">
        <v>606</v>
      </c>
      <c r="EZZ56" s="49"/>
      <c r="FAA56" s="49"/>
      <c r="FAB56" s="49"/>
      <c r="FAC56" s="49"/>
      <c r="FAD56" s="49"/>
      <c r="FAE56" s="872">
        <f t="shared" si="1511"/>
        <v>606</v>
      </c>
      <c r="FAF56" s="873">
        <f t="shared" si="1512"/>
        <v>101</v>
      </c>
    </row>
    <row r="57" spans="1:4088" s="8" customFormat="1" ht="13.5" thickBot="1" x14ac:dyDescent="0.25">
      <c r="A57" s="21">
        <v>28</v>
      </c>
      <c r="B57" s="297" t="s">
        <v>183</v>
      </c>
      <c r="C57" s="730" t="s">
        <v>296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33"/>
        <v>5824</v>
      </c>
      <c r="M57" s="15">
        <f t="shared" si="2434"/>
        <v>5824</v>
      </c>
      <c r="N57" s="15">
        <v>0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29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505"/>
        <v>333</v>
      </c>
      <c r="EZH57" s="873">
        <f t="shared" si="1506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507"/>
        <v>276</v>
      </c>
      <c r="EZP57" s="873">
        <f t="shared" si="1508"/>
        <v>46</v>
      </c>
      <c r="EZQ57" s="458">
        <v>0</v>
      </c>
      <c r="EZR57" s="83"/>
      <c r="EZS57" s="83"/>
      <c r="EZT57" s="83">
        <v>0</v>
      </c>
      <c r="EZU57" s="83"/>
      <c r="EZV57" s="83">
        <v>0</v>
      </c>
      <c r="EZW57" s="872">
        <f t="shared" si="1509"/>
        <v>0</v>
      </c>
      <c r="EZX57" s="873">
        <f t="shared" si="1510"/>
        <v>0</v>
      </c>
      <c r="EZY57" s="195">
        <v>0</v>
      </c>
      <c r="EZZ57" s="49"/>
      <c r="FAA57" s="49"/>
      <c r="FAB57" s="49"/>
      <c r="FAC57" s="49"/>
      <c r="FAD57" s="49"/>
      <c r="FAE57" s="872">
        <f t="shared" si="1511"/>
        <v>0</v>
      </c>
      <c r="FAF57" s="873">
        <f t="shared" si="1512"/>
        <v>0</v>
      </c>
    </row>
    <row r="58" spans="1:4088" s="8" customFormat="1" ht="13.5" thickBot="1" x14ac:dyDescent="0.25">
      <c r="A58" s="21">
        <v>29</v>
      </c>
      <c r="B58" s="297" t="s">
        <v>544</v>
      </c>
      <c r="C58" s="730" t="s">
        <v>542</v>
      </c>
      <c r="D58" s="297">
        <v>40</v>
      </c>
      <c r="E58" s="24"/>
      <c r="F58" s="24">
        <v>1946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ref="L58:L61" si="2435">F58+H58-J58</f>
        <v>1946</v>
      </c>
      <c r="M58" s="15">
        <f t="shared" ref="M58:M61" si="2436">K58+L58</f>
        <v>1946</v>
      </c>
      <c r="N58" s="15"/>
      <c r="O58" s="276">
        <v>0</v>
      </c>
      <c r="P58" s="712"/>
      <c r="Q58" s="276">
        <v>0</v>
      </c>
      <c r="R58" s="277">
        <v>0</v>
      </c>
      <c r="S58" s="222"/>
      <c r="T58" s="276">
        <v>0</v>
      </c>
      <c r="U58" s="278"/>
      <c r="V58" s="276">
        <v>0</v>
      </c>
      <c r="W58" s="279">
        <f t="shared" si="2429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/>
      <c r="EYV58" s="88"/>
      <c r="EYW58" s="88"/>
      <c r="EYX58" s="88"/>
      <c r="EYY58" s="884"/>
      <c r="EYZ58" s="885"/>
      <c r="EZA58" s="195"/>
      <c r="EZB58" s="49"/>
      <c r="EZC58" s="49"/>
      <c r="EZD58" s="49"/>
      <c r="EZE58" s="49"/>
      <c r="EZF58" s="49"/>
      <c r="EZG58" s="872"/>
      <c r="EZH58" s="873"/>
      <c r="EZI58" s="195"/>
      <c r="EZJ58" s="49"/>
      <c r="EZK58" s="49"/>
      <c r="EZL58" s="49"/>
      <c r="EZM58" s="49"/>
      <c r="EZN58" s="49"/>
      <c r="EZO58" s="872"/>
      <c r="EZP58" s="873"/>
      <c r="EZQ58" s="458"/>
      <c r="EZR58" s="83"/>
      <c r="EZS58" s="83"/>
      <c r="EZT58" s="83"/>
      <c r="EZU58" s="83"/>
      <c r="EZV58" s="83"/>
      <c r="EZW58" s="872"/>
      <c r="EZX58" s="873">
        <f t="shared" si="1510"/>
        <v>0</v>
      </c>
      <c r="EZY58" s="195">
        <v>0</v>
      </c>
      <c r="EZZ58" s="49"/>
      <c r="FAA58" s="49"/>
      <c r="FAB58" s="49"/>
      <c r="FAC58" s="49"/>
      <c r="FAD58" s="49"/>
      <c r="FAE58" s="872">
        <f t="shared" si="1511"/>
        <v>0</v>
      </c>
      <c r="FAF58" s="873">
        <f t="shared" si="1512"/>
        <v>0</v>
      </c>
    </row>
    <row r="59" spans="1:4088" s="8" customFormat="1" ht="13.5" thickBot="1" x14ac:dyDescent="0.25">
      <c r="A59" s="21">
        <v>30</v>
      </c>
      <c r="B59" s="297" t="s">
        <v>545</v>
      </c>
      <c r="C59" s="730" t="s">
        <v>543</v>
      </c>
      <c r="D59" s="297">
        <v>40</v>
      </c>
      <c r="E59" s="24"/>
      <c r="F59" s="24">
        <v>1938</v>
      </c>
      <c r="G59" s="24"/>
      <c r="H59" s="24"/>
      <c r="I59" s="360"/>
      <c r="J59" s="360"/>
      <c r="K59" s="24">
        <v>0</v>
      </c>
      <c r="L59" s="24">
        <f t="shared" si="2435"/>
        <v>1938</v>
      </c>
      <c r="M59" s="15">
        <f t="shared" si="2436"/>
        <v>1938</v>
      </c>
      <c r="N59" s="15"/>
      <c r="O59" s="276">
        <v>0</v>
      </c>
      <c r="P59" s="712"/>
      <c r="Q59" s="276">
        <v>0</v>
      </c>
      <c r="R59" s="277">
        <v>0</v>
      </c>
      <c r="S59" s="222"/>
      <c r="T59" s="276">
        <v>0</v>
      </c>
      <c r="U59" s="278"/>
      <c r="V59" s="276">
        <v>0</v>
      </c>
      <c r="W59" s="279">
        <f t="shared" si="2429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>
        <f t="shared" si="1510"/>
        <v>0</v>
      </c>
      <c r="EZY59" s="195"/>
      <c r="EZZ59" s="49"/>
      <c r="FAA59" s="49"/>
      <c r="FAB59" s="49"/>
      <c r="FAC59" s="49"/>
      <c r="FAD59" s="49"/>
      <c r="FAE59" s="872">
        <f t="shared" si="1511"/>
        <v>0</v>
      </c>
      <c r="FAF59" s="873">
        <f t="shared" si="1512"/>
        <v>0</v>
      </c>
    </row>
    <row r="60" spans="1:4088" s="8" customFormat="1" ht="13.5" thickBot="1" x14ac:dyDescent="0.25">
      <c r="A60" s="21">
        <v>31</v>
      </c>
      <c r="B60" s="297" t="s">
        <v>529</v>
      </c>
      <c r="C60" s="730" t="s">
        <v>531</v>
      </c>
      <c r="D60" s="297">
        <v>40</v>
      </c>
      <c r="E60" s="24"/>
      <c r="F60" s="24">
        <v>1700</v>
      </c>
      <c r="G60" s="24"/>
      <c r="H60" s="24"/>
      <c r="I60" s="360"/>
      <c r="J60" s="360">
        <f>SUMIF(SUMPK!$B:$B,$B:$B,SUMPK!$O:$O)</f>
        <v>0</v>
      </c>
      <c r="K60" s="24">
        <v>0</v>
      </c>
      <c r="L60" s="24">
        <f t="shared" si="2435"/>
        <v>1700</v>
      </c>
      <c r="M60" s="15">
        <f t="shared" si="2436"/>
        <v>1700</v>
      </c>
      <c r="N60" s="15">
        <v>0</v>
      </c>
      <c r="O60" s="276">
        <v>0</v>
      </c>
      <c r="P60" s="712"/>
      <c r="Q60" s="276">
        <v>0</v>
      </c>
      <c r="R60" s="277">
        <v>0</v>
      </c>
      <c r="S60" s="222"/>
      <c r="T60" s="276">
        <v>0</v>
      </c>
      <c r="U60" s="278"/>
      <c r="V60" s="276">
        <v>0</v>
      </c>
      <c r="W60" s="279">
        <f t="shared" si="2429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>
        <v>100</v>
      </c>
      <c r="EYV60" s="88"/>
      <c r="EYW60" s="88"/>
      <c r="EYX60" s="88"/>
      <c r="EYY60" s="884"/>
      <c r="EYZ60" s="885"/>
      <c r="EZA60" s="195">
        <v>0</v>
      </c>
      <c r="EZB60" s="49">
        <v>0</v>
      </c>
      <c r="EZC60" s="49"/>
      <c r="EZD60" s="49"/>
      <c r="EZE60" s="49">
        <v>100</v>
      </c>
      <c r="EZF60" s="49"/>
      <c r="EZG60" s="872">
        <f t="shared" si="1505"/>
        <v>100</v>
      </c>
      <c r="EZH60" s="873">
        <f t="shared" si="1506"/>
        <v>16.666666666666668</v>
      </c>
      <c r="EZI60" s="195"/>
      <c r="EZJ60" s="49">
        <v>100</v>
      </c>
      <c r="EZK60" s="49"/>
      <c r="EZL60" s="49">
        <v>0</v>
      </c>
      <c r="EZM60" s="49"/>
      <c r="EZN60" s="49"/>
      <c r="EZO60" s="872">
        <f t="shared" si="1507"/>
        <v>100</v>
      </c>
      <c r="EZP60" s="873">
        <f t="shared" si="1508"/>
        <v>16.666666666666668</v>
      </c>
      <c r="EZQ60" s="458"/>
      <c r="EZR60" s="83"/>
      <c r="EZS60" s="83"/>
      <c r="EZT60" s="83"/>
      <c r="EZU60" s="83"/>
      <c r="EZV60" s="83"/>
      <c r="EZW60" s="872">
        <f t="shared" si="1509"/>
        <v>0</v>
      </c>
      <c r="EZX60" s="873">
        <f t="shared" si="1510"/>
        <v>0</v>
      </c>
      <c r="EZY60" s="195">
        <v>0</v>
      </c>
      <c r="EZZ60" s="49"/>
      <c r="FAA60" s="49"/>
      <c r="FAB60" s="49"/>
      <c r="FAC60" s="49"/>
      <c r="FAD60" s="49"/>
      <c r="FAE60" s="872">
        <f t="shared" si="1511"/>
        <v>0</v>
      </c>
      <c r="FAF60" s="873">
        <f t="shared" si="1512"/>
        <v>0</v>
      </c>
    </row>
    <row r="61" spans="1:4088" s="8" customFormat="1" ht="13.5" thickBot="1" x14ac:dyDescent="0.25">
      <c r="A61" s="21">
        <v>32</v>
      </c>
      <c r="B61" s="297" t="s">
        <v>530</v>
      </c>
      <c r="C61" s="730" t="s">
        <v>532</v>
      </c>
      <c r="D61" s="297">
        <v>40</v>
      </c>
      <c r="E61" s="24"/>
      <c r="F61" s="24">
        <v>2030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35"/>
        <v>2030</v>
      </c>
      <c r="M61" s="15">
        <f t="shared" si="2436"/>
        <v>2030</v>
      </c>
      <c r="N61" s="15">
        <v>0</v>
      </c>
      <c r="O61" s="276">
        <v>0</v>
      </c>
      <c r="P61" s="712"/>
      <c r="Q61" s="276">
        <v>0</v>
      </c>
      <c r="R61" s="277">
        <v>0</v>
      </c>
      <c r="S61" s="222"/>
      <c r="T61" s="276">
        <v>0</v>
      </c>
      <c r="U61" s="278"/>
      <c r="V61" s="276">
        <v>0</v>
      </c>
      <c r="W61" s="279">
        <f t="shared" si="2429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>
        <f t="shared" si="1714"/>
        <v>0</v>
      </c>
      <c r="COM61" s="68">
        <f t="shared" si="1715"/>
        <v>0</v>
      </c>
      <c r="CON61" s="48"/>
      <c r="COO61" s="49"/>
      <c r="COP61" s="49"/>
      <c r="COQ61" s="49"/>
      <c r="COR61" s="49"/>
      <c r="COS61" s="49"/>
      <c r="COT61" s="67">
        <f t="shared" si="1716"/>
        <v>0</v>
      </c>
      <c r="COU61" s="68">
        <f t="shared" si="1717"/>
        <v>0</v>
      </c>
      <c r="COV61" s="48"/>
      <c r="COW61" s="49"/>
      <c r="COX61" s="49"/>
      <c r="COY61" s="49">
        <v>267</v>
      </c>
      <c r="COZ61" s="49"/>
      <c r="CPA61" s="49"/>
      <c r="CPB61" s="67">
        <f t="shared" si="1718"/>
        <v>267</v>
      </c>
      <c r="CPC61" s="68">
        <f t="shared" si="1719"/>
        <v>44.5</v>
      </c>
      <c r="CPD61" s="48"/>
      <c r="CPE61" s="49">
        <v>0</v>
      </c>
      <c r="CPF61" s="49">
        <v>0</v>
      </c>
      <c r="CPG61" s="49">
        <v>260</v>
      </c>
      <c r="CPH61" s="49"/>
      <c r="CPI61" s="49"/>
      <c r="CPJ61" s="67">
        <f t="shared" si="1720"/>
        <v>260</v>
      </c>
      <c r="CPK61" s="68">
        <f t="shared" si="1721"/>
        <v>43.333333333333336</v>
      </c>
      <c r="CPL61" s="48"/>
      <c r="CPM61" s="49">
        <v>1073</v>
      </c>
      <c r="CPN61" s="49">
        <v>0</v>
      </c>
      <c r="CPO61" s="49"/>
      <c r="CPP61" s="49">
        <v>0</v>
      </c>
      <c r="CPQ61" s="49"/>
      <c r="CPR61" s="67">
        <f t="shared" si="1722"/>
        <v>1073</v>
      </c>
      <c r="CPS61" s="68">
        <f t="shared" si="1723"/>
        <v>178.83333333333334</v>
      </c>
      <c r="CPT61" s="48">
        <v>0</v>
      </c>
      <c r="CPU61" s="49">
        <v>0</v>
      </c>
      <c r="CPV61" s="49">
        <v>496</v>
      </c>
      <c r="CPW61" s="49"/>
      <c r="CPX61" s="49"/>
      <c r="CPY61" s="49">
        <v>1203</v>
      </c>
      <c r="CPZ61" s="67">
        <f t="shared" si="1724"/>
        <v>1699</v>
      </c>
      <c r="CQA61" s="68">
        <f t="shared" si="1725"/>
        <v>283.16666666666669</v>
      </c>
      <c r="CQB61" s="48"/>
      <c r="CQC61" s="49">
        <v>0</v>
      </c>
      <c r="CQD61" s="49"/>
      <c r="CQE61" s="49">
        <v>0</v>
      </c>
      <c r="CQF61" s="49">
        <v>0</v>
      </c>
      <c r="CQG61" s="49">
        <v>0</v>
      </c>
      <c r="CQH61" s="67">
        <f t="shared" si="1726"/>
        <v>0</v>
      </c>
      <c r="CQI61" s="68">
        <f t="shared" si="1727"/>
        <v>0</v>
      </c>
      <c r="CQJ61" s="82">
        <v>0</v>
      </c>
      <c r="CQK61" s="83">
        <v>1220</v>
      </c>
      <c r="CQL61" s="83"/>
      <c r="CQM61" s="83">
        <v>1904</v>
      </c>
      <c r="CQN61" s="83"/>
      <c r="CQO61" s="83"/>
      <c r="CQP61" s="67">
        <f t="shared" si="1728"/>
        <v>3124</v>
      </c>
      <c r="CQQ61" s="68">
        <f t="shared" si="1729"/>
        <v>520.66666666666663</v>
      </c>
      <c r="CQR61" s="239"/>
      <c r="CQS61" s="1">
        <v>0</v>
      </c>
      <c r="CQT61" s="1"/>
      <c r="CQU61" s="1"/>
      <c r="CQV61" s="1">
        <v>1268</v>
      </c>
      <c r="CQW61" s="1"/>
      <c r="CQX61" s="67">
        <f t="shared" si="1730"/>
        <v>1268</v>
      </c>
      <c r="CQY61" s="68">
        <f t="shared" si="1731"/>
        <v>211.33333333333334</v>
      </c>
      <c r="CQZ61" s="48">
        <v>0</v>
      </c>
      <c r="CRA61" s="49"/>
      <c r="CRB61" s="49">
        <v>0</v>
      </c>
      <c r="CRC61" s="49">
        <v>1531</v>
      </c>
      <c r="CRD61" s="49">
        <v>0</v>
      </c>
      <c r="CRE61" s="49">
        <v>0</v>
      </c>
      <c r="CRF61" s="67">
        <f t="shared" si="1732"/>
        <v>1531</v>
      </c>
      <c r="CRG61" s="68">
        <f t="shared" si="1733"/>
        <v>255.16666666666666</v>
      </c>
      <c r="CRH61" s="48"/>
      <c r="CRI61" s="49"/>
      <c r="CRJ61" s="49">
        <v>1358</v>
      </c>
      <c r="CRK61" s="49">
        <v>0</v>
      </c>
      <c r="CRL61" s="49">
        <v>1928</v>
      </c>
      <c r="CRM61" s="49"/>
      <c r="CRN61" s="67">
        <f t="shared" si="1734"/>
        <v>3286</v>
      </c>
      <c r="CRO61" s="68">
        <f t="shared" si="1735"/>
        <v>547.66666666666663</v>
      </c>
      <c r="CRP61" s="48"/>
      <c r="CRQ61" s="49">
        <v>0</v>
      </c>
      <c r="CRR61" s="49">
        <v>0</v>
      </c>
      <c r="CRS61" s="49">
        <v>0</v>
      </c>
      <c r="CRT61" s="49">
        <v>560</v>
      </c>
      <c r="CRU61" s="49">
        <v>0</v>
      </c>
      <c r="CRV61" s="47">
        <f t="shared" si="1736"/>
        <v>560</v>
      </c>
      <c r="CRW61" s="68">
        <f t="shared" si="1737"/>
        <v>93.333333333333329</v>
      </c>
      <c r="CRX61" s="48">
        <v>100</v>
      </c>
      <c r="CRY61" s="49">
        <v>1647</v>
      </c>
      <c r="CRZ61" s="49">
        <v>1135</v>
      </c>
      <c r="CSA61" s="49"/>
      <c r="CSB61" s="49">
        <v>0</v>
      </c>
      <c r="CSC61" s="49">
        <v>0</v>
      </c>
      <c r="CSD61" s="67">
        <f t="shared" si="1738"/>
        <v>2882</v>
      </c>
      <c r="CSE61" s="68">
        <f t="shared" si="1739"/>
        <v>480.33333333333331</v>
      </c>
      <c r="CSF61" s="48"/>
      <c r="CSG61" s="49"/>
      <c r="CSH61" s="49">
        <v>0</v>
      </c>
      <c r="CSI61" s="49">
        <v>760</v>
      </c>
      <c r="CSJ61" s="49">
        <v>770</v>
      </c>
      <c r="CSK61" s="360">
        <f>SUMIF(SUMPK!$B:$B,$B:$B,SUMPK!$O:$O)</f>
        <v>0</v>
      </c>
      <c r="CSL61" s="64">
        <f t="shared" si="1740"/>
        <v>1530</v>
      </c>
      <c r="CSM61" s="68">
        <f t="shared" si="1741"/>
        <v>255</v>
      </c>
      <c r="CSN61" s="48">
        <v>0</v>
      </c>
      <c r="CSO61" s="49">
        <v>1979</v>
      </c>
      <c r="CSP61" s="49"/>
      <c r="CSQ61" s="49"/>
      <c r="CSR61" s="49"/>
      <c r="CSS61" s="49">
        <v>0</v>
      </c>
      <c r="CST61" s="64">
        <f t="shared" si="1742"/>
        <v>1979</v>
      </c>
      <c r="CSU61" s="68">
        <f t="shared" si="1743"/>
        <v>329.83333333333331</v>
      </c>
      <c r="CSV61" s="48">
        <v>2271</v>
      </c>
      <c r="CSW61" s="49"/>
      <c r="CSX61" s="49"/>
      <c r="CSY61" s="49">
        <v>0</v>
      </c>
      <c r="CSZ61" s="49">
        <v>0</v>
      </c>
      <c r="CTA61" s="49">
        <v>0</v>
      </c>
      <c r="CTB61" s="64">
        <f t="shared" si="1744"/>
        <v>2271</v>
      </c>
      <c r="CTC61" s="68">
        <f t="shared" si="1745"/>
        <v>378.5</v>
      </c>
      <c r="CTD61" s="48">
        <v>591</v>
      </c>
      <c r="CTE61" s="49">
        <v>1855</v>
      </c>
      <c r="CTF61" s="49">
        <v>633</v>
      </c>
      <c r="CTG61" s="49">
        <v>0</v>
      </c>
      <c r="CTH61" s="49"/>
      <c r="CTI61" s="49"/>
      <c r="CTJ61" s="64">
        <f t="shared" si="1746"/>
        <v>3079</v>
      </c>
      <c r="CTK61" s="68">
        <f t="shared" si="1747"/>
        <v>513.16666666666663</v>
      </c>
      <c r="CTL61" s="48">
        <v>0</v>
      </c>
      <c r="CTM61" s="49">
        <v>0</v>
      </c>
      <c r="CTN61" s="49"/>
      <c r="CTO61" s="49"/>
      <c r="CTP61" s="49">
        <v>0</v>
      </c>
      <c r="CTQ61" s="49">
        <v>0</v>
      </c>
      <c r="CTR61" s="64">
        <f t="shared" si="1748"/>
        <v>0</v>
      </c>
      <c r="CTS61" s="68">
        <f t="shared" si="1749"/>
        <v>0</v>
      </c>
      <c r="CTT61" s="48">
        <v>0</v>
      </c>
      <c r="CTU61" s="49"/>
      <c r="CTV61" s="49">
        <v>0</v>
      </c>
      <c r="CTW61" s="49"/>
      <c r="CTX61" s="49"/>
      <c r="CTY61" s="49"/>
      <c r="CTZ61" s="64">
        <f t="shared" si="1750"/>
        <v>0</v>
      </c>
      <c r="CUA61" s="68">
        <f t="shared" si="1751"/>
        <v>0</v>
      </c>
      <c r="CUB61" s="48"/>
      <c r="CUC61" s="49"/>
      <c r="CUD61" s="49"/>
      <c r="CUE61" s="49"/>
      <c r="CUF61" s="49">
        <v>0</v>
      </c>
      <c r="CUG61" s="49">
        <v>0</v>
      </c>
      <c r="CUH61" s="64">
        <f t="shared" si="1752"/>
        <v>0</v>
      </c>
      <c r="CUI61" s="68">
        <f t="shared" si="1753"/>
        <v>0</v>
      </c>
      <c r="CUJ61" s="48">
        <v>0</v>
      </c>
      <c r="CUK61" s="49">
        <v>0</v>
      </c>
      <c r="CUL61" s="49">
        <v>0</v>
      </c>
      <c r="CUM61" s="49">
        <v>0</v>
      </c>
      <c r="CUN61" s="49">
        <v>0</v>
      </c>
      <c r="CUO61" s="49">
        <v>0</v>
      </c>
      <c r="CUP61" s="64">
        <f t="shared" si="1754"/>
        <v>0</v>
      </c>
      <c r="CUQ61" s="68">
        <f t="shared" si="1755"/>
        <v>0</v>
      </c>
      <c r="CUR61" s="48">
        <v>0</v>
      </c>
      <c r="CUS61" s="49"/>
      <c r="CUT61" s="49"/>
      <c r="CUU61" s="49">
        <v>670</v>
      </c>
      <c r="CUV61" s="49">
        <v>0</v>
      </c>
      <c r="CUW61" s="49">
        <v>0</v>
      </c>
      <c r="CUX61" s="64">
        <f t="shared" si="1756"/>
        <v>670</v>
      </c>
      <c r="CUY61" s="68">
        <f t="shared" si="1757"/>
        <v>111.66666666666667</v>
      </c>
      <c r="CUZ61" s="48">
        <v>0</v>
      </c>
      <c r="CVA61" s="49">
        <v>0</v>
      </c>
      <c r="CVB61" s="49"/>
      <c r="CVC61" s="49">
        <v>0</v>
      </c>
      <c r="CVD61" s="49">
        <v>658</v>
      </c>
      <c r="CVE61" s="49"/>
      <c r="CVF61" s="64">
        <f t="shared" si="1758"/>
        <v>658</v>
      </c>
      <c r="CVG61" s="68">
        <f t="shared" si="1759"/>
        <v>109.66666666666667</v>
      </c>
      <c r="CVH61" s="48"/>
      <c r="CVI61" s="49"/>
      <c r="CVJ61" s="49"/>
      <c r="CVK61" s="49"/>
      <c r="CVL61" s="49">
        <v>641</v>
      </c>
      <c r="CVM61" s="49"/>
      <c r="CVN61" s="64">
        <f t="shared" si="1760"/>
        <v>641</v>
      </c>
      <c r="CVO61" s="68">
        <f t="shared" si="1761"/>
        <v>106.83333333333333</v>
      </c>
      <c r="CVP61" s="48"/>
      <c r="CVQ61" s="49"/>
      <c r="CVR61" s="49"/>
      <c r="CVS61" s="49"/>
      <c r="CVT61" s="49"/>
      <c r="CVU61" s="49"/>
      <c r="CVV61" s="64">
        <f t="shared" si="1762"/>
        <v>0</v>
      </c>
      <c r="CVW61" s="68">
        <f t="shared" si="1763"/>
        <v>0</v>
      </c>
      <c r="CVX61" s="48"/>
      <c r="CVY61" s="49">
        <v>503</v>
      </c>
      <c r="CVZ61" s="49">
        <v>194</v>
      </c>
      <c r="CWA61" s="49"/>
      <c r="CWB61" s="49"/>
      <c r="CWC61" s="49"/>
      <c r="CWD61" s="64">
        <f t="shared" si="1764"/>
        <v>697</v>
      </c>
      <c r="CWE61" s="68">
        <f t="shared" si="1765"/>
        <v>116.16666666666667</v>
      </c>
      <c r="CWF61" s="48"/>
      <c r="CWG61" s="49"/>
      <c r="CWH61" s="49"/>
      <c r="CWI61" s="49"/>
      <c r="CWJ61" s="49"/>
      <c r="CWK61" s="49"/>
      <c r="CWL61" s="64">
        <f t="shared" si="1766"/>
        <v>0</v>
      </c>
      <c r="CWM61" s="68">
        <f t="shared" si="1767"/>
        <v>0</v>
      </c>
      <c r="CWN61" s="48"/>
      <c r="CWO61" s="49">
        <v>336</v>
      </c>
      <c r="CWP61" s="49"/>
      <c r="CWQ61" s="49"/>
      <c r="CWR61" s="49"/>
      <c r="CWS61" s="49"/>
      <c r="CWT61" s="64">
        <f t="shared" si="1768"/>
        <v>336</v>
      </c>
      <c r="CWU61" s="68">
        <f t="shared" si="1769"/>
        <v>56</v>
      </c>
      <c r="CWV61" s="48"/>
      <c r="CWW61" s="49"/>
      <c r="CWX61" s="49"/>
      <c r="CWY61" s="49"/>
      <c r="CWZ61" s="49"/>
      <c r="CXA61" s="49"/>
      <c r="CXB61" s="127">
        <f t="shared" si="1770"/>
        <v>0</v>
      </c>
      <c r="CXC61" s="43">
        <f t="shared" si="1771"/>
        <v>0</v>
      </c>
      <c r="CXD61" s="48"/>
      <c r="CXE61" s="49"/>
      <c r="CXF61" s="49">
        <v>645</v>
      </c>
      <c r="CXG61" s="49"/>
      <c r="CXH61" s="49"/>
      <c r="CXI61" s="49"/>
      <c r="CXJ61" s="127">
        <f t="shared" si="1772"/>
        <v>645</v>
      </c>
      <c r="CXK61" s="43">
        <f t="shared" si="1773"/>
        <v>107.5</v>
      </c>
      <c r="CXL61" s="48">
        <v>1344</v>
      </c>
      <c r="CXM61" s="49">
        <v>500</v>
      </c>
      <c r="CXN61" s="49">
        <v>0</v>
      </c>
      <c r="CXO61" s="49">
        <v>0</v>
      </c>
      <c r="CXP61" s="49">
        <v>0</v>
      </c>
      <c r="CXQ61" s="49">
        <v>0</v>
      </c>
      <c r="CXR61" s="127">
        <f t="shared" si="1774"/>
        <v>1844</v>
      </c>
      <c r="CXS61" s="43">
        <f t="shared" si="1775"/>
        <v>307.33333333333331</v>
      </c>
      <c r="CXT61" s="48">
        <v>0</v>
      </c>
      <c r="CXU61" s="49">
        <v>54</v>
      </c>
      <c r="CXV61" s="49">
        <v>0</v>
      </c>
      <c r="CXW61" s="49">
        <v>120</v>
      </c>
      <c r="CXX61" s="49">
        <v>0</v>
      </c>
      <c r="CXY61" s="49">
        <v>0</v>
      </c>
      <c r="CXZ61" s="127">
        <f t="shared" si="1776"/>
        <v>174</v>
      </c>
      <c r="CYA61" s="43">
        <f t="shared" si="1777"/>
        <v>29</v>
      </c>
      <c r="CYB61" s="48">
        <v>0</v>
      </c>
      <c r="CYC61" s="49">
        <v>0</v>
      </c>
      <c r="CYD61" s="49">
        <v>0</v>
      </c>
      <c r="CYE61" s="49">
        <v>0</v>
      </c>
      <c r="CYF61" s="49"/>
      <c r="CYG61" s="49"/>
      <c r="CYH61" s="127">
        <f t="shared" si="1778"/>
        <v>0</v>
      </c>
      <c r="CYI61" s="43">
        <f t="shared" si="1779"/>
        <v>0</v>
      </c>
      <c r="CYJ61" s="48"/>
      <c r="CYK61" s="49">
        <v>350</v>
      </c>
      <c r="CYL61" s="49"/>
      <c r="CYM61" s="49">
        <v>0</v>
      </c>
      <c r="CYN61" s="49">
        <v>0</v>
      </c>
      <c r="CYO61" s="49">
        <v>728</v>
      </c>
      <c r="CYP61" s="127">
        <f t="shared" si="1780"/>
        <v>1078</v>
      </c>
      <c r="CYQ61" s="43">
        <f t="shared" si="1781"/>
        <v>179.66666666666666</v>
      </c>
      <c r="CYR61" s="48">
        <v>0</v>
      </c>
      <c r="CYS61" s="49">
        <v>0</v>
      </c>
      <c r="CYT61" s="49">
        <v>0</v>
      </c>
      <c r="CYU61" s="49">
        <v>605</v>
      </c>
      <c r="CYV61" s="49">
        <v>0</v>
      </c>
      <c r="CYW61" s="49">
        <v>300</v>
      </c>
      <c r="CYX61" s="127">
        <f t="shared" si="1782"/>
        <v>905</v>
      </c>
      <c r="CYY61" s="43">
        <f t="shared" si="1783"/>
        <v>150.83333333333334</v>
      </c>
      <c r="CYZ61" s="48">
        <v>696</v>
      </c>
      <c r="CZA61" s="49">
        <v>0</v>
      </c>
      <c r="CZB61" s="49">
        <v>0</v>
      </c>
      <c r="CZC61" s="49">
        <v>0</v>
      </c>
      <c r="CZD61" s="49">
        <v>1051</v>
      </c>
      <c r="CZE61" s="49">
        <v>0</v>
      </c>
      <c r="CZF61" s="127">
        <f t="shared" si="1784"/>
        <v>1747</v>
      </c>
      <c r="CZG61" s="43">
        <f t="shared" si="1785"/>
        <v>349.4</v>
      </c>
      <c r="CZH61" s="48">
        <v>0</v>
      </c>
      <c r="CZI61" s="49">
        <v>0</v>
      </c>
      <c r="CZJ61" s="49">
        <v>0</v>
      </c>
      <c r="CZK61" s="49">
        <v>0</v>
      </c>
      <c r="CZL61" s="49">
        <v>0</v>
      </c>
      <c r="CZM61" s="49">
        <v>0</v>
      </c>
      <c r="CZN61" s="127">
        <f t="shared" si="1786"/>
        <v>0</v>
      </c>
      <c r="CZO61" s="43">
        <f t="shared" si="1787"/>
        <v>0</v>
      </c>
      <c r="CZP61" s="48"/>
      <c r="CZQ61" s="49">
        <v>0</v>
      </c>
      <c r="CZR61" s="49"/>
      <c r="CZS61" s="49"/>
      <c r="CZT61" s="49">
        <v>0</v>
      </c>
      <c r="CZU61" s="49"/>
      <c r="CZV61" s="127">
        <f t="shared" si="1788"/>
        <v>0</v>
      </c>
      <c r="CZW61" s="43">
        <f t="shared" si="1789"/>
        <v>0</v>
      </c>
      <c r="CZX61" s="48"/>
      <c r="CZY61" s="49">
        <v>1044</v>
      </c>
      <c r="CZZ61" s="49">
        <v>261</v>
      </c>
      <c r="DAA61" s="49">
        <v>0</v>
      </c>
      <c r="DAB61" s="49"/>
      <c r="DAC61" s="49">
        <v>503</v>
      </c>
      <c r="DAD61" s="64">
        <f t="shared" si="1790"/>
        <v>1808</v>
      </c>
      <c r="DAE61" s="68">
        <f t="shared" si="1791"/>
        <v>301.33333333333331</v>
      </c>
      <c r="DAF61" s="48">
        <v>515</v>
      </c>
      <c r="DAG61" s="49">
        <v>0</v>
      </c>
      <c r="DAH61" s="49">
        <v>0</v>
      </c>
      <c r="DAI61" s="49">
        <v>0</v>
      </c>
      <c r="DAJ61" s="49">
        <v>401</v>
      </c>
      <c r="DAK61" s="49">
        <v>0</v>
      </c>
      <c r="DAL61" s="64">
        <f t="shared" si="1792"/>
        <v>916</v>
      </c>
      <c r="DAM61" s="68">
        <f t="shared" si="1793"/>
        <v>152.66666666666666</v>
      </c>
      <c r="DAN61" s="48">
        <v>665</v>
      </c>
      <c r="DAO61" s="49"/>
      <c r="DAP61" s="49"/>
      <c r="DAQ61" s="49"/>
      <c r="DAR61" s="49">
        <v>0</v>
      </c>
      <c r="DAS61" s="49">
        <v>0</v>
      </c>
      <c r="DAT61" s="64">
        <f t="shared" si="1794"/>
        <v>665</v>
      </c>
      <c r="DAU61" s="68">
        <f t="shared" si="1795"/>
        <v>110.83333333333333</v>
      </c>
      <c r="DAV61" s="48"/>
      <c r="DAW61" s="49">
        <v>0</v>
      </c>
      <c r="DAX61" s="49">
        <v>657</v>
      </c>
      <c r="DAY61" s="49">
        <v>0</v>
      </c>
      <c r="DAZ61" s="49">
        <v>0</v>
      </c>
      <c r="DBA61" s="49">
        <v>0</v>
      </c>
      <c r="DBB61" s="64">
        <f t="shared" si="1796"/>
        <v>657</v>
      </c>
      <c r="DBC61" s="68">
        <f t="shared" si="1797"/>
        <v>109.5</v>
      </c>
      <c r="DBD61" s="48"/>
      <c r="DBE61" s="49">
        <v>1324</v>
      </c>
      <c r="DBF61" s="49">
        <v>682</v>
      </c>
      <c r="DBG61" s="49">
        <v>0</v>
      </c>
      <c r="DBH61" s="49"/>
      <c r="DBI61" s="49">
        <v>0</v>
      </c>
      <c r="DBJ61" s="64">
        <f t="shared" si="1798"/>
        <v>2006</v>
      </c>
      <c r="DBK61" s="68">
        <f t="shared" si="1799"/>
        <v>334.33333333333331</v>
      </c>
      <c r="DBL61" s="48">
        <v>666</v>
      </c>
      <c r="DBM61" s="49">
        <v>0</v>
      </c>
      <c r="DBN61" s="49"/>
      <c r="DBO61" s="49"/>
      <c r="DBP61" s="49"/>
      <c r="DBQ61" s="49">
        <v>0</v>
      </c>
      <c r="DBR61" s="64">
        <f t="shared" si="1800"/>
        <v>666</v>
      </c>
      <c r="DBS61" s="68">
        <f t="shared" si="1801"/>
        <v>111</v>
      </c>
      <c r="DBT61" s="48">
        <v>629</v>
      </c>
      <c r="DBU61" s="49"/>
      <c r="DBV61" s="49"/>
      <c r="DBW61" s="49"/>
      <c r="DBX61" s="49"/>
      <c r="DBY61" s="49"/>
      <c r="DBZ61" s="64">
        <f t="shared" si="1802"/>
        <v>629</v>
      </c>
      <c r="DCA61" s="68">
        <f t="shared" si="1803"/>
        <v>125.8</v>
      </c>
      <c r="DCB61" s="48"/>
      <c r="DCC61" s="49">
        <v>405</v>
      </c>
      <c r="DCD61" s="49">
        <v>590</v>
      </c>
      <c r="DCE61" s="49"/>
      <c r="DCF61" s="49"/>
      <c r="DCG61" s="49"/>
      <c r="DCH61" s="64">
        <f t="shared" si="1804"/>
        <v>995</v>
      </c>
      <c r="DCI61" s="68">
        <f t="shared" si="1805"/>
        <v>165.83333333333334</v>
      </c>
      <c r="DCJ61" s="48"/>
      <c r="DCK61" s="49"/>
      <c r="DCL61" s="49"/>
      <c r="DCM61" s="49">
        <v>681</v>
      </c>
      <c r="DCN61" s="49">
        <v>0</v>
      </c>
      <c r="DCO61" s="49"/>
      <c r="DCP61" s="64">
        <f t="shared" si="1806"/>
        <v>681</v>
      </c>
      <c r="DCQ61" s="68">
        <f t="shared" si="1807"/>
        <v>113.5</v>
      </c>
      <c r="DCR61" s="48">
        <v>0</v>
      </c>
      <c r="DCS61" s="49">
        <v>0</v>
      </c>
      <c r="DCT61" s="49">
        <v>0</v>
      </c>
      <c r="DCU61" s="49"/>
      <c r="DCV61" s="49">
        <v>0</v>
      </c>
      <c r="DCW61" s="49">
        <v>602</v>
      </c>
      <c r="DCX61" s="64">
        <f t="shared" si="1808"/>
        <v>602</v>
      </c>
      <c r="DCY61" s="68">
        <f t="shared" si="1809"/>
        <v>100.33333333333333</v>
      </c>
      <c r="DCZ61" s="48">
        <v>524</v>
      </c>
      <c r="DDA61" s="49">
        <v>373</v>
      </c>
      <c r="DDB61" s="49">
        <v>761</v>
      </c>
      <c r="DDC61" s="49"/>
      <c r="DDD61" s="49"/>
      <c r="DDE61" s="49">
        <v>0</v>
      </c>
      <c r="DDF61" s="64">
        <f t="shared" si="1810"/>
        <v>1658</v>
      </c>
      <c r="DDG61" s="68">
        <f t="shared" si="1811"/>
        <v>276.33333333333331</v>
      </c>
      <c r="DDH61" s="48">
        <v>0</v>
      </c>
      <c r="DDI61" s="49"/>
      <c r="DDJ61" s="49"/>
      <c r="DDK61" s="49"/>
      <c r="DDL61" s="49"/>
      <c r="DDM61" s="49">
        <v>0</v>
      </c>
      <c r="DDN61" s="127">
        <f t="shared" si="1812"/>
        <v>0</v>
      </c>
      <c r="DDO61" s="43">
        <f t="shared" si="1813"/>
        <v>0</v>
      </c>
      <c r="DDP61" s="48">
        <v>0</v>
      </c>
      <c r="DDQ61" s="49">
        <v>0</v>
      </c>
      <c r="DDR61" s="49">
        <v>0</v>
      </c>
      <c r="DDS61" s="49">
        <v>0</v>
      </c>
      <c r="DDT61" s="49"/>
      <c r="DDU61" s="49"/>
      <c r="DDV61" s="127">
        <f t="shared" si="1814"/>
        <v>0</v>
      </c>
      <c r="DDW61" s="43">
        <f t="shared" si="1815"/>
        <v>0</v>
      </c>
      <c r="DDX61" s="48">
        <v>668</v>
      </c>
      <c r="DDY61" s="49">
        <v>673</v>
      </c>
      <c r="DDZ61" s="49"/>
      <c r="DEA61" s="49"/>
      <c r="DEB61" s="49">
        <v>0</v>
      </c>
      <c r="DEC61" s="49">
        <v>362</v>
      </c>
      <c r="DED61" s="127">
        <f t="shared" si="1816"/>
        <v>1703</v>
      </c>
      <c r="DEE61" s="43">
        <f t="shared" si="1817"/>
        <v>283.83333333333331</v>
      </c>
      <c r="DEF61" s="48">
        <v>0</v>
      </c>
      <c r="DEG61" s="49"/>
      <c r="DEH61" s="49"/>
      <c r="DEI61" s="49"/>
      <c r="DEJ61" s="49">
        <v>0</v>
      </c>
      <c r="DEK61" s="49"/>
      <c r="DEL61" s="127">
        <f t="shared" si="1818"/>
        <v>0</v>
      </c>
      <c r="DEM61" s="43">
        <f t="shared" si="1819"/>
        <v>0</v>
      </c>
      <c r="DEN61" s="48"/>
      <c r="DEO61" s="49">
        <v>636</v>
      </c>
      <c r="DEP61" s="49"/>
      <c r="DEQ61" s="49">
        <v>550</v>
      </c>
      <c r="DER61" s="49"/>
      <c r="DES61" s="49"/>
      <c r="DET61" s="127">
        <f t="shared" si="1820"/>
        <v>1186</v>
      </c>
      <c r="DEU61" s="43">
        <f t="shared" si="1821"/>
        <v>197.66666666666666</v>
      </c>
      <c r="DEV61" s="48">
        <v>0</v>
      </c>
      <c r="DEW61" s="49">
        <v>281</v>
      </c>
      <c r="DEX61" s="49"/>
      <c r="DEY61" s="49"/>
      <c r="DEZ61" s="49">
        <v>662</v>
      </c>
      <c r="DFA61" s="49">
        <v>0</v>
      </c>
      <c r="DFB61" s="127">
        <f t="shared" si="1822"/>
        <v>943</v>
      </c>
      <c r="DFC61" s="43">
        <f t="shared" si="1823"/>
        <v>157.16666666666666</v>
      </c>
      <c r="DFD61" s="48"/>
      <c r="DFE61" s="49"/>
      <c r="DFF61" s="49">
        <v>667</v>
      </c>
      <c r="DFG61" s="49"/>
      <c r="DFH61" s="49"/>
      <c r="DFI61" s="49"/>
      <c r="DFJ61" s="127">
        <f t="shared" si="1824"/>
        <v>667</v>
      </c>
      <c r="DFK61" s="43">
        <f t="shared" si="1825"/>
        <v>111.16666666666667</v>
      </c>
      <c r="DFL61" s="63"/>
      <c r="DFM61" s="64">
        <v>661</v>
      </c>
      <c r="DFN61" s="64"/>
      <c r="DFO61" s="64"/>
      <c r="DFP61" s="64">
        <v>0</v>
      </c>
      <c r="DFQ61" s="64">
        <v>673</v>
      </c>
      <c r="DFR61" s="64">
        <f t="shared" si="1826"/>
        <v>1334</v>
      </c>
      <c r="DFS61" s="68">
        <f t="shared" si="1827"/>
        <v>222.33333333333334</v>
      </c>
      <c r="DFT61" s="48"/>
      <c r="DFU61" s="49">
        <v>0</v>
      </c>
      <c r="DFV61" s="49"/>
      <c r="DFW61" s="49">
        <v>1346</v>
      </c>
      <c r="DFX61" s="49"/>
      <c r="DFY61" s="49"/>
      <c r="DFZ61" s="127">
        <f t="shared" si="1828"/>
        <v>1346</v>
      </c>
      <c r="DGA61" s="43">
        <f t="shared" si="1829"/>
        <v>224.33333333333334</v>
      </c>
      <c r="DGB61" s="48"/>
      <c r="DGC61" s="49">
        <v>668</v>
      </c>
      <c r="DGD61" s="49">
        <v>652</v>
      </c>
      <c r="DGE61" s="49"/>
      <c r="DGF61" s="49"/>
      <c r="DGG61" s="49">
        <v>0</v>
      </c>
      <c r="DGH61" s="127">
        <f t="shared" si="1830"/>
        <v>1320</v>
      </c>
      <c r="DGI61" s="43">
        <f t="shared" si="1831"/>
        <v>220</v>
      </c>
      <c r="DGJ61" s="48"/>
      <c r="DGK61" s="49"/>
      <c r="DGL61" s="49">
        <v>606</v>
      </c>
      <c r="DGM61" s="49">
        <v>0</v>
      </c>
      <c r="DGN61" s="49"/>
      <c r="DGO61" s="49">
        <v>660</v>
      </c>
      <c r="DGP61" s="64">
        <f t="shared" si="1832"/>
        <v>1266</v>
      </c>
      <c r="DGQ61" s="68">
        <f t="shared" si="1833"/>
        <v>211</v>
      </c>
      <c r="DGR61" s="48">
        <v>945</v>
      </c>
      <c r="DGS61" s="49">
        <v>0</v>
      </c>
      <c r="DGT61" s="49">
        <v>0</v>
      </c>
      <c r="DGU61" s="49"/>
      <c r="DGV61" s="49"/>
      <c r="DGW61" s="49">
        <v>0</v>
      </c>
      <c r="DGX61" s="64">
        <f t="shared" si="1834"/>
        <v>945</v>
      </c>
      <c r="DGY61" s="68">
        <f t="shared" si="1835"/>
        <v>157.5</v>
      </c>
      <c r="DGZ61" s="48"/>
      <c r="DHA61" s="49"/>
      <c r="DHB61" s="49"/>
      <c r="DHC61" s="49"/>
      <c r="DHD61" s="49">
        <v>966</v>
      </c>
      <c r="DHE61" s="49"/>
      <c r="DHF61" s="64">
        <f t="shared" si="1836"/>
        <v>966</v>
      </c>
      <c r="DHG61" s="68">
        <f t="shared" si="1837"/>
        <v>161</v>
      </c>
      <c r="DHH61" s="63">
        <v>0</v>
      </c>
      <c r="DHI61" s="64">
        <v>914</v>
      </c>
      <c r="DHJ61" s="64"/>
      <c r="DHK61" s="64">
        <v>580</v>
      </c>
      <c r="DHL61" s="64"/>
      <c r="DHM61" s="64"/>
      <c r="DHN61" s="64">
        <f t="shared" si="1838"/>
        <v>1494</v>
      </c>
      <c r="DHO61" s="68">
        <f t="shared" si="1839"/>
        <v>249</v>
      </c>
      <c r="DHP61" s="48">
        <v>882</v>
      </c>
      <c r="DHQ61" s="49">
        <v>0</v>
      </c>
      <c r="DHR61" s="49"/>
      <c r="DHS61" s="49"/>
      <c r="DHT61" s="49"/>
      <c r="DHU61" s="49">
        <v>1583</v>
      </c>
      <c r="DHV61" s="64">
        <f t="shared" si="1840"/>
        <v>2465</v>
      </c>
      <c r="DHW61" s="68">
        <f t="shared" si="1841"/>
        <v>410.83333333333331</v>
      </c>
      <c r="DHX61" s="48"/>
      <c r="DHY61" s="49"/>
      <c r="DHZ61" s="49"/>
      <c r="DIA61" s="49"/>
      <c r="DIB61" s="49"/>
      <c r="DIC61" s="49">
        <v>1390</v>
      </c>
      <c r="DID61" s="64">
        <f t="shared" si="1842"/>
        <v>1390</v>
      </c>
      <c r="DIE61" s="68">
        <f t="shared" si="1843"/>
        <v>231.66666666666666</v>
      </c>
      <c r="DIF61" s="48">
        <v>216</v>
      </c>
      <c r="DIG61" s="49"/>
      <c r="DIH61" s="49"/>
      <c r="DII61" s="49">
        <v>933</v>
      </c>
      <c r="DIJ61" s="49"/>
      <c r="DIK61" s="49"/>
      <c r="DIL61" s="64">
        <f t="shared" si="1844"/>
        <v>1149</v>
      </c>
      <c r="DIM61" s="68">
        <f t="shared" si="1845"/>
        <v>191.5</v>
      </c>
      <c r="DIN61" s="48"/>
      <c r="DIO61" s="49"/>
      <c r="DIP61" s="49">
        <v>1345</v>
      </c>
      <c r="DIQ61" s="49"/>
      <c r="DIR61" s="49">
        <v>0</v>
      </c>
      <c r="DIS61" s="49"/>
      <c r="DIT61" s="64">
        <f t="shared" si="1846"/>
        <v>1345</v>
      </c>
      <c r="DIU61" s="68">
        <f t="shared" si="1847"/>
        <v>224.16666666666666</v>
      </c>
      <c r="DIV61" s="48">
        <v>1979</v>
      </c>
      <c r="DIW61" s="49">
        <v>0</v>
      </c>
      <c r="DIX61" s="49"/>
      <c r="DIY61" s="49">
        <v>0</v>
      </c>
      <c r="DIZ61" s="49">
        <v>0</v>
      </c>
      <c r="DJA61" s="49">
        <v>643</v>
      </c>
      <c r="DJB61" s="64">
        <f t="shared" si="1848"/>
        <v>2622</v>
      </c>
      <c r="DJC61" s="68">
        <f t="shared" si="1849"/>
        <v>437</v>
      </c>
      <c r="DJD61" s="48">
        <v>0</v>
      </c>
      <c r="DJE61" s="49"/>
      <c r="DJF61" s="49"/>
      <c r="DJG61" s="49"/>
      <c r="DJH61" s="49">
        <v>1664</v>
      </c>
      <c r="DJI61" s="49"/>
      <c r="DJJ61" s="64">
        <f t="shared" si="1850"/>
        <v>1664</v>
      </c>
      <c r="DJK61" s="68">
        <f t="shared" si="1851"/>
        <v>277.33333333333331</v>
      </c>
      <c r="DJL61" s="48">
        <v>0</v>
      </c>
      <c r="DJM61" s="49"/>
      <c r="DJN61" s="49"/>
      <c r="DJO61" s="49"/>
      <c r="DJP61" s="49">
        <v>3258</v>
      </c>
      <c r="DJQ61" s="49">
        <v>0</v>
      </c>
      <c r="DJR61" s="64">
        <f t="shared" si="1852"/>
        <v>3258</v>
      </c>
      <c r="DJS61" s="68">
        <f t="shared" si="1853"/>
        <v>543</v>
      </c>
      <c r="DJT61" s="48"/>
      <c r="DJU61" s="49"/>
      <c r="DJV61" s="49">
        <v>0</v>
      </c>
      <c r="DJW61" s="49"/>
      <c r="DJX61" s="49">
        <v>0</v>
      </c>
      <c r="DJY61" s="49">
        <v>44</v>
      </c>
      <c r="DJZ61" s="64">
        <f t="shared" si="1854"/>
        <v>44</v>
      </c>
      <c r="DKA61" s="68">
        <f t="shared" si="1855"/>
        <v>7.333333333333333</v>
      </c>
      <c r="DKB61" s="48">
        <v>507</v>
      </c>
      <c r="DKC61" s="49"/>
      <c r="DKD61" s="49">
        <v>930</v>
      </c>
      <c r="DKE61" s="49">
        <v>0</v>
      </c>
      <c r="DKF61" s="49">
        <v>0</v>
      </c>
      <c r="DKG61" s="49">
        <v>0</v>
      </c>
      <c r="DKH61" s="64">
        <f t="shared" si="1856"/>
        <v>1437</v>
      </c>
      <c r="DKI61" s="68">
        <f t="shared" si="1857"/>
        <v>239.5</v>
      </c>
      <c r="DKJ61" s="48"/>
      <c r="DKK61" s="49"/>
      <c r="DKL61" s="49">
        <v>552</v>
      </c>
      <c r="DKM61" s="49"/>
      <c r="DKN61" s="49">
        <v>0</v>
      </c>
      <c r="DKO61" s="49"/>
      <c r="DKP61" s="64">
        <f t="shared" si="1858"/>
        <v>552</v>
      </c>
      <c r="DKQ61" s="68">
        <f t="shared" si="1859"/>
        <v>92</v>
      </c>
      <c r="DKR61" s="48"/>
      <c r="DKS61" s="49">
        <v>0</v>
      </c>
      <c r="DKT61" s="49"/>
      <c r="DKU61" s="49">
        <v>0</v>
      </c>
      <c r="DKV61" s="49">
        <v>1287</v>
      </c>
      <c r="DKW61" s="49"/>
      <c r="DKX61" s="64">
        <f t="shared" si="1860"/>
        <v>1287</v>
      </c>
      <c r="DKY61" s="68">
        <f t="shared" si="1861"/>
        <v>214.5</v>
      </c>
      <c r="DKZ61" s="48"/>
      <c r="DLA61" s="49">
        <v>0</v>
      </c>
      <c r="DLB61" s="49">
        <v>0</v>
      </c>
      <c r="DLC61" s="49">
        <v>0</v>
      </c>
      <c r="DLD61" s="49"/>
      <c r="DLE61" s="49">
        <v>1646</v>
      </c>
      <c r="DLF61" s="64">
        <f t="shared" si="1862"/>
        <v>1646</v>
      </c>
      <c r="DLG61" s="68">
        <f t="shared" si="1863"/>
        <v>274.33333333333331</v>
      </c>
      <c r="DLH61" s="48"/>
      <c r="DLI61" s="49"/>
      <c r="DLJ61" s="49">
        <v>669</v>
      </c>
      <c r="DLK61" s="49"/>
      <c r="DLL61" s="49"/>
      <c r="DLM61" s="49"/>
      <c r="DLN61" s="64">
        <f t="shared" si="1864"/>
        <v>669</v>
      </c>
      <c r="DLO61" s="68">
        <f t="shared" si="1865"/>
        <v>111.5</v>
      </c>
      <c r="DLP61" s="48"/>
      <c r="DLQ61" s="49"/>
      <c r="DLR61" s="49">
        <v>1546</v>
      </c>
      <c r="DLS61" s="49"/>
      <c r="DLT61" s="49">
        <v>941</v>
      </c>
      <c r="DLU61" s="49"/>
      <c r="DLV61" s="64">
        <f t="shared" si="1866"/>
        <v>2487</v>
      </c>
      <c r="DLW61" s="68">
        <f t="shared" si="1867"/>
        <v>414.5</v>
      </c>
      <c r="DLX61" s="48">
        <v>0</v>
      </c>
      <c r="DLY61" s="49"/>
      <c r="DLZ61" s="49"/>
      <c r="DMA61" s="49"/>
      <c r="DMB61" s="49"/>
      <c r="DMC61" s="49">
        <v>996</v>
      </c>
      <c r="DMD61" s="64">
        <f t="shared" si="1868"/>
        <v>996</v>
      </c>
      <c r="DME61" s="68">
        <f t="shared" si="1869"/>
        <v>166</v>
      </c>
      <c r="DMF61" s="48"/>
      <c r="DMG61" s="49"/>
      <c r="DMH61" s="49"/>
      <c r="DMI61" s="49">
        <v>2640</v>
      </c>
      <c r="DMJ61" s="49">
        <v>322</v>
      </c>
      <c r="DMK61" s="49"/>
      <c r="DML61" s="64">
        <f t="shared" si="1870"/>
        <v>2962</v>
      </c>
      <c r="DMM61" s="68">
        <f t="shared" si="1871"/>
        <v>493.66666666666669</v>
      </c>
      <c r="DMN61" s="48"/>
      <c r="DMO61" s="49"/>
      <c r="DMP61" s="49"/>
      <c r="DMQ61" s="49">
        <v>330</v>
      </c>
      <c r="DMR61" s="49">
        <v>400</v>
      </c>
      <c r="DMS61" s="49">
        <v>600</v>
      </c>
      <c r="DMT61" s="64">
        <f t="shared" si="1872"/>
        <v>1330</v>
      </c>
      <c r="DMU61" s="68">
        <f t="shared" si="1873"/>
        <v>221.66666666666666</v>
      </c>
      <c r="DMV61" s="48">
        <v>300</v>
      </c>
      <c r="DMW61" s="49">
        <v>371</v>
      </c>
      <c r="DMX61" s="49">
        <v>0</v>
      </c>
      <c r="DMY61" s="49">
        <v>0</v>
      </c>
      <c r="DMZ61" s="49">
        <v>1710</v>
      </c>
      <c r="DNA61" s="49">
        <v>0</v>
      </c>
      <c r="DNB61" s="64">
        <f t="shared" si="1874"/>
        <v>2381</v>
      </c>
      <c r="DNC61" s="68">
        <f t="shared" si="1875"/>
        <v>396.83333333333331</v>
      </c>
      <c r="DND61" s="48"/>
      <c r="DNE61" s="49">
        <v>0</v>
      </c>
      <c r="DNF61" s="49">
        <v>1000</v>
      </c>
      <c r="DNG61" s="49"/>
      <c r="DNH61" s="49"/>
      <c r="DNI61" s="49"/>
      <c r="DNJ61" s="64">
        <f t="shared" si="1876"/>
        <v>1000</v>
      </c>
      <c r="DNK61" s="68">
        <f t="shared" si="1877"/>
        <v>166.66666666666666</v>
      </c>
      <c r="DNL61" s="48"/>
      <c r="DNM61" s="49">
        <v>996</v>
      </c>
      <c r="DNN61" s="49">
        <v>294</v>
      </c>
      <c r="DNO61" s="49"/>
      <c r="DNP61" s="49"/>
      <c r="DNQ61" s="49">
        <v>1018</v>
      </c>
      <c r="DNR61" s="64">
        <f t="shared" si="1878"/>
        <v>2308</v>
      </c>
      <c r="DNS61" s="68">
        <f t="shared" si="1879"/>
        <v>384.66666666666669</v>
      </c>
      <c r="DNT61" s="48"/>
      <c r="DNU61" s="49"/>
      <c r="DNV61" s="49">
        <v>100</v>
      </c>
      <c r="DNW61" s="49">
        <v>902</v>
      </c>
      <c r="DNX61" s="49">
        <v>1411</v>
      </c>
      <c r="DNY61" s="49">
        <v>0</v>
      </c>
      <c r="DNZ61" s="64">
        <f t="shared" si="1880"/>
        <v>2413</v>
      </c>
      <c r="DOA61" s="68">
        <f t="shared" si="1881"/>
        <v>402.16666666666669</v>
      </c>
      <c r="DOB61" s="48"/>
      <c r="DOC61" s="49"/>
      <c r="DOD61" s="49"/>
      <c r="DOE61" s="49">
        <v>0</v>
      </c>
      <c r="DOF61" s="49">
        <v>1920</v>
      </c>
      <c r="DOG61" s="49">
        <v>490</v>
      </c>
      <c r="DOH61" s="64">
        <f t="shared" si="1882"/>
        <v>2410</v>
      </c>
      <c r="DOI61" s="68">
        <f t="shared" si="1883"/>
        <v>401.66666666666669</v>
      </c>
      <c r="DOJ61" s="48"/>
      <c r="DOK61" s="49">
        <v>0</v>
      </c>
      <c r="DOL61" s="49"/>
      <c r="DOM61" s="49"/>
      <c r="DON61" s="49"/>
      <c r="DOO61" s="49">
        <v>0</v>
      </c>
      <c r="DOP61" s="64">
        <f t="shared" si="1884"/>
        <v>0</v>
      </c>
      <c r="DOQ61" s="68">
        <f t="shared" si="1885"/>
        <v>0</v>
      </c>
      <c r="DOR61" s="48">
        <v>903</v>
      </c>
      <c r="DOS61" s="49">
        <v>1703</v>
      </c>
      <c r="DOT61" s="49"/>
      <c r="DOU61" s="49">
        <v>322</v>
      </c>
      <c r="DOV61" s="49">
        <v>2272</v>
      </c>
      <c r="DOW61" s="49"/>
      <c r="DOX61" s="64">
        <f t="shared" si="1886"/>
        <v>5200</v>
      </c>
      <c r="DOY61" s="68">
        <f t="shared" si="1887"/>
        <v>866.66666666666663</v>
      </c>
      <c r="DOZ61" s="48"/>
      <c r="DPA61" s="49"/>
      <c r="DPB61" s="49"/>
      <c r="DPC61" s="49">
        <v>1965</v>
      </c>
      <c r="DPD61" s="49"/>
      <c r="DPE61" s="49">
        <v>0</v>
      </c>
      <c r="DPF61" s="64">
        <f t="shared" si="1888"/>
        <v>1965</v>
      </c>
      <c r="DPG61" s="68">
        <f t="shared" si="1889"/>
        <v>327.5</v>
      </c>
      <c r="DPH61" s="48">
        <v>2588</v>
      </c>
      <c r="DPI61" s="49"/>
      <c r="DPJ61" s="49"/>
      <c r="DPK61" s="49"/>
      <c r="DPL61" s="49"/>
      <c r="DPM61" s="49"/>
      <c r="DPN61" s="64">
        <f t="shared" si="1890"/>
        <v>2588</v>
      </c>
      <c r="DPO61" s="68">
        <f t="shared" si="1891"/>
        <v>431.33333333333331</v>
      </c>
      <c r="DPP61" s="48">
        <v>1365</v>
      </c>
      <c r="DPQ61" s="49">
        <v>932</v>
      </c>
      <c r="DPR61" s="49">
        <v>0</v>
      </c>
      <c r="DPS61" s="49"/>
      <c r="DPT61" s="49"/>
      <c r="DPU61" s="49"/>
      <c r="DPV61" s="491">
        <f t="shared" si="1892"/>
        <v>2297</v>
      </c>
      <c r="DPW61" s="492">
        <f t="shared" si="1893"/>
        <v>382.83333333333331</v>
      </c>
      <c r="DPX61" s="48">
        <v>0</v>
      </c>
      <c r="DPY61" s="49"/>
      <c r="DPZ61" s="49">
        <v>880</v>
      </c>
      <c r="DQA61" s="49">
        <v>1450</v>
      </c>
      <c r="DQB61" s="49">
        <v>0</v>
      </c>
      <c r="DQC61" s="49">
        <v>0</v>
      </c>
      <c r="DQD61" s="491">
        <f t="shared" si="1894"/>
        <v>2330</v>
      </c>
      <c r="DQE61" s="492">
        <f t="shared" si="1895"/>
        <v>388.33333333333331</v>
      </c>
      <c r="DQF61" s="48"/>
      <c r="DQG61" s="49">
        <v>0</v>
      </c>
      <c r="DQH61" s="49"/>
      <c r="DQI61" s="49"/>
      <c r="DQJ61" s="49">
        <v>1640</v>
      </c>
      <c r="DQK61" s="49"/>
      <c r="DQL61" s="489">
        <f t="shared" si="1896"/>
        <v>1640</v>
      </c>
      <c r="DQM61" s="492">
        <f t="shared" si="1897"/>
        <v>273.33333333333331</v>
      </c>
      <c r="DQN61" s="48">
        <v>0</v>
      </c>
      <c r="DQO61" s="49">
        <v>0</v>
      </c>
      <c r="DQP61" s="49">
        <v>0</v>
      </c>
      <c r="DQQ61" s="49">
        <v>1683</v>
      </c>
      <c r="DQR61" s="49">
        <v>1361</v>
      </c>
      <c r="DQS61" s="49">
        <v>0</v>
      </c>
      <c r="DQT61" s="64">
        <f t="shared" si="1898"/>
        <v>3044</v>
      </c>
      <c r="DQU61" s="68">
        <f t="shared" si="1899"/>
        <v>507.33333333333331</v>
      </c>
      <c r="DQV61" s="48"/>
      <c r="DQW61" s="49"/>
      <c r="DQX61" s="49"/>
      <c r="DQY61" s="49">
        <v>2621</v>
      </c>
      <c r="DQZ61" s="49">
        <v>0</v>
      </c>
      <c r="DRA61" s="49"/>
      <c r="DRB61" s="491">
        <f t="shared" si="1900"/>
        <v>2621</v>
      </c>
      <c r="DRC61" s="492">
        <f t="shared" si="1901"/>
        <v>436.83333333333331</v>
      </c>
      <c r="DRD61" s="48">
        <v>0</v>
      </c>
      <c r="DRE61" s="49"/>
      <c r="DRF61" s="49">
        <v>1210</v>
      </c>
      <c r="DRG61" s="49">
        <v>775</v>
      </c>
      <c r="DRH61" s="49"/>
      <c r="DRI61" s="49"/>
      <c r="DRJ61" s="491">
        <f t="shared" si="1902"/>
        <v>1985</v>
      </c>
      <c r="DRK61" s="492">
        <f t="shared" si="1903"/>
        <v>330.83333333333331</v>
      </c>
      <c r="DRL61" s="48">
        <v>0</v>
      </c>
      <c r="DRM61" s="49">
        <v>3080</v>
      </c>
      <c r="DRN61" s="49">
        <v>264</v>
      </c>
      <c r="DRO61" s="49"/>
      <c r="DRP61" s="49">
        <v>0</v>
      </c>
      <c r="DRQ61" s="49"/>
      <c r="DRR61" s="64">
        <f t="shared" si="1599"/>
        <v>3344</v>
      </c>
      <c r="DRS61" s="68">
        <f t="shared" si="1600"/>
        <v>557.33333333333337</v>
      </c>
      <c r="DRT61" s="48">
        <v>0</v>
      </c>
      <c r="DRU61" s="49"/>
      <c r="DRV61" s="49">
        <v>3869</v>
      </c>
      <c r="DRW61" s="49">
        <v>508</v>
      </c>
      <c r="DRX61" s="49">
        <v>0</v>
      </c>
      <c r="DRY61" s="49"/>
      <c r="DRZ61" s="491">
        <f t="shared" si="1601"/>
        <v>4377</v>
      </c>
      <c r="DSA61" s="68">
        <f t="shared" si="1602"/>
        <v>729.5</v>
      </c>
      <c r="DSB61" s="82"/>
      <c r="DSC61" s="83"/>
      <c r="DSD61" s="83">
        <v>4027</v>
      </c>
      <c r="DSE61" s="83"/>
      <c r="DSF61" s="83">
        <v>0</v>
      </c>
      <c r="DSG61" s="83">
        <v>1548</v>
      </c>
      <c r="DSH61" s="64">
        <f t="shared" si="1603"/>
        <v>5575</v>
      </c>
      <c r="DSI61" s="68">
        <f t="shared" si="1604"/>
        <v>929.16666666666663</v>
      </c>
      <c r="DSJ61" s="48">
        <v>0</v>
      </c>
      <c r="DSK61" s="49"/>
      <c r="DSL61" s="49"/>
      <c r="DSM61" s="49">
        <v>0</v>
      </c>
      <c r="DSN61" s="49"/>
      <c r="DSO61" s="49">
        <v>0</v>
      </c>
      <c r="DSP61" s="64">
        <f t="shared" si="1605"/>
        <v>0</v>
      </c>
      <c r="DSQ61" s="68">
        <f t="shared" si="1606"/>
        <v>0</v>
      </c>
      <c r="DSR61" s="48"/>
      <c r="DSS61" s="49"/>
      <c r="DST61" s="49">
        <v>0</v>
      </c>
      <c r="DSU61" s="49">
        <v>3345</v>
      </c>
      <c r="DSV61" s="49">
        <v>5</v>
      </c>
      <c r="DSW61" s="49"/>
      <c r="DSX61" s="64">
        <f t="shared" si="1607"/>
        <v>3350</v>
      </c>
      <c r="DSY61" s="68">
        <f t="shared" si="1608"/>
        <v>558.33333333333337</v>
      </c>
      <c r="DSZ61" s="48"/>
      <c r="DTA61" s="49">
        <v>301</v>
      </c>
      <c r="DTB61" s="49">
        <v>2246</v>
      </c>
      <c r="DTC61" s="49">
        <v>146</v>
      </c>
      <c r="DTD61" s="49"/>
      <c r="DTE61" s="49"/>
      <c r="DTF61" s="64">
        <f t="shared" si="1609"/>
        <v>2693</v>
      </c>
      <c r="DTG61" s="68">
        <f t="shared" si="1610"/>
        <v>448.83333333333331</v>
      </c>
      <c r="DTH61" s="48">
        <v>0</v>
      </c>
      <c r="DTI61" s="49"/>
      <c r="DTJ61" s="49">
        <v>0</v>
      </c>
      <c r="DTK61" s="49">
        <v>0</v>
      </c>
      <c r="DTL61" s="49">
        <v>0</v>
      </c>
      <c r="DTM61" s="49">
        <v>2500</v>
      </c>
      <c r="DTN61" s="64">
        <f t="shared" si="1611"/>
        <v>2500</v>
      </c>
      <c r="DTO61" s="68">
        <f t="shared" si="1612"/>
        <v>416.66666666666669</v>
      </c>
      <c r="DTP61" s="48">
        <v>849</v>
      </c>
      <c r="DTQ61" s="49"/>
      <c r="DTR61" s="49"/>
      <c r="DTS61" s="49"/>
      <c r="DTT61" s="49">
        <v>1432</v>
      </c>
      <c r="DTU61" s="49">
        <v>2202</v>
      </c>
      <c r="DTV61" s="64">
        <f t="shared" si="1613"/>
        <v>4483</v>
      </c>
      <c r="DTW61" s="68">
        <f t="shared" si="1614"/>
        <v>747.16666666666663</v>
      </c>
      <c r="DTX61" s="48">
        <v>900</v>
      </c>
      <c r="DTY61" s="49">
        <v>510</v>
      </c>
      <c r="DTZ61" s="49">
        <v>5</v>
      </c>
      <c r="DUA61" s="49"/>
      <c r="DUB61" s="49">
        <v>0</v>
      </c>
      <c r="DUC61" s="49">
        <v>0</v>
      </c>
      <c r="DUD61" s="64">
        <f t="shared" si="1615"/>
        <v>1415</v>
      </c>
      <c r="DUE61" s="68">
        <f t="shared" si="1616"/>
        <v>235.83333333333334</v>
      </c>
      <c r="DUF61" s="48">
        <v>2597</v>
      </c>
      <c r="DUG61" s="49">
        <v>716</v>
      </c>
      <c r="DUH61" s="49"/>
      <c r="DUI61" s="49">
        <v>397</v>
      </c>
      <c r="DUJ61" s="49">
        <v>3085</v>
      </c>
      <c r="DUK61" s="49">
        <v>0</v>
      </c>
      <c r="DUL61" s="64">
        <f t="shared" si="1617"/>
        <v>6795</v>
      </c>
      <c r="DUM61" s="68">
        <f t="shared" si="1618"/>
        <v>1132.5</v>
      </c>
      <c r="DUN61" s="48"/>
      <c r="DUO61" s="49">
        <v>0</v>
      </c>
      <c r="DUP61" s="49">
        <v>4371</v>
      </c>
      <c r="DUQ61" s="49">
        <v>5</v>
      </c>
      <c r="DUR61" s="49"/>
      <c r="DUS61" s="49">
        <v>0</v>
      </c>
      <c r="DUT61" s="64">
        <f t="shared" si="1619"/>
        <v>4376</v>
      </c>
      <c r="DUU61" s="68">
        <f t="shared" si="1620"/>
        <v>729.33333333333337</v>
      </c>
      <c r="DUV61" s="48"/>
      <c r="DUW61" s="49">
        <v>0</v>
      </c>
      <c r="DUX61" s="49">
        <v>5</v>
      </c>
      <c r="DUY61" s="49">
        <v>1929</v>
      </c>
      <c r="DUZ61" s="49">
        <v>0</v>
      </c>
      <c r="DVA61" s="49"/>
      <c r="DVB61" s="64">
        <f t="shared" si="1621"/>
        <v>1934</v>
      </c>
      <c r="DVC61" s="68">
        <f t="shared" si="1622"/>
        <v>322.33333333333331</v>
      </c>
      <c r="DVD61" s="48"/>
      <c r="DVE61" s="49">
        <v>2860</v>
      </c>
      <c r="DVF61" s="49">
        <v>507</v>
      </c>
      <c r="DVG61" s="49">
        <v>0</v>
      </c>
      <c r="DVH61" s="49">
        <v>0</v>
      </c>
      <c r="DVI61" s="49">
        <v>0</v>
      </c>
      <c r="DVJ61" s="64">
        <f t="shared" si="1623"/>
        <v>3367</v>
      </c>
      <c r="DVK61" s="68">
        <f t="shared" si="1624"/>
        <v>561.16666666666663</v>
      </c>
      <c r="DVL61" s="48"/>
      <c r="DVM61" s="49">
        <v>2</v>
      </c>
      <c r="DVN61" s="49">
        <v>1356</v>
      </c>
      <c r="DVO61" s="49">
        <v>3336</v>
      </c>
      <c r="DVP61" s="49">
        <v>2</v>
      </c>
      <c r="DVQ61" s="49">
        <v>0</v>
      </c>
      <c r="DVR61" s="64">
        <f t="shared" si="1625"/>
        <v>4696</v>
      </c>
      <c r="DVS61" s="68">
        <f t="shared" si="1626"/>
        <v>782.66666666666663</v>
      </c>
      <c r="DVT61" s="48"/>
      <c r="DVU61" s="49">
        <v>2588</v>
      </c>
      <c r="DVV61" s="49">
        <v>1</v>
      </c>
      <c r="DVW61" s="49">
        <v>0</v>
      </c>
      <c r="DVX61" s="49">
        <v>1100</v>
      </c>
      <c r="DVY61" s="49">
        <v>3994</v>
      </c>
      <c r="DVZ61" s="64">
        <f t="shared" si="1627"/>
        <v>7683</v>
      </c>
      <c r="DWA61" s="68">
        <f t="shared" si="1628"/>
        <v>1280.5</v>
      </c>
      <c r="DWB61" s="48">
        <v>0</v>
      </c>
      <c r="DWC61" s="49">
        <v>0</v>
      </c>
      <c r="DWD61" s="49">
        <v>0</v>
      </c>
      <c r="DWE61" s="49">
        <v>0</v>
      </c>
      <c r="DWF61" s="49">
        <v>3345</v>
      </c>
      <c r="DWG61" s="49"/>
      <c r="DWH61" s="64">
        <f t="shared" si="1629"/>
        <v>3345</v>
      </c>
      <c r="DWI61" s="68">
        <f t="shared" si="1630"/>
        <v>557.5</v>
      </c>
      <c r="DWJ61" s="48">
        <v>2347</v>
      </c>
      <c r="DWK61" s="49">
        <v>0</v>
      </c>
      <c r="DWL61" s="49">
        <v>648</v>
      </c>
      <c r="DWM61" s="49"/>
      <c r="DWN61" s="49">
        <v>0</v>
      </c>
      <c r="DWO61" s="49"/>
      <c r="DWP61" s="64">
        <f t="shared" si="1631"/>
        <v>2995</v>
      </c>
      <c r="DWQ61" s="68">
        <f t="shared" si="1632"/>
        <v>499.16666666666669</v>
      </c>
      <c r="DWR61" s="48"/>
      <c r="DWS61" s="49"/>
      <c r="DWT61" s="49">
        <v>3037</v>
      </c>
      <c r="DWU61" s="49"/>
      <c r="DWV61" s="49">
        <v>0</v>
      </c>
      <c r="DWW61" s="49">
        <v>2001</v>
      </c>
      <c r="DWX61" s="64">
        <f t="shared" si="1633"/>
        <v>5038</v>
      </c>
      <c r="DWY61" s="68">
        <f t="shared" si="1634"/>
        <v>839.66666666666663</v>
      </c>
      <c r="DWZ61" s="48">
        <v>0</v>
      </c>
      <c r="DXA61" s="49">
        <v>2533</v>
      </c>
      <c r="DXB61" s="49"/>
      <c r="DXC61" s="49">
        <v>0</v>
      </c>
      <c r="DXD61" s="49">
        <v>2828</v>
      </c>
      <c r="DXE61" s="49"/>
      <c r="DXF61" s="64">
        <f t="shared" si="1635"/>
        <v>5361</v>
      </c>
      <c r="DXG61" s="68">
        <f t="shared" si="1636"/>
        <v>893.5</v>
      </c>
      <c r="DXH61" s="48">
        <v>0</v>
      </c>
      <c r="DXI61" s="49">
        <v>0</v>
      </c>
      <c r="DXJ61" s="49">
        <v>0</v>
      </c>
      <c r="DXK61" s="49">
        <v>2000</v>
      </c>
      <c r="DXL61" s="49"/>
      <c r="DXM61" s="49">
        <v>1165</v>
      </c>
      <c r="DXN61" s="64">
        <f t="shared" si="1637"/>
        <v>3165</v>
      </c>
      <c r="DXO61" s="68">
        <f t="shared" si="1638"/>
        <v>527.5</v>
      </c>
      <c r="DXP61" s="48">
        <v>1148</v>
      </c>
      <c r="DXQ61" s="49">
        <v>0</v>
      </c>
      <c r="DXR61" s="49">
        <v>4464</v>
      </c>
      <c r="DXS61" s="49">
        <v>461</v>
      </c>
      <c r="DXT61" s="49"/>
      <c r="DXU61" s="49"/>
      <c r="DXV61" s="64">
        <f t="shared" si="1328"/>
        <v>6073</v>
      </c>
      <c r="DXW61" s="68">
        <f t="shared" si="1329"/>
        <v>1012.1666666666666</v>
      </c>
      <c r="DXX61" s="48">
        <v>0</v>
      </c>
      <c r="DXY61" s="49"/>
      <c r="DXZ61" s="49">
        <v>0</v>
      </c>
      <c r="DYA61" s="49">
        <v>0</v>
      </c>
      <c r="DYB61" s="49">
        <v>0</v>
      </c>
      <c r="DYC61" s="49">
        <v>3322</v>
      </c>
      <c r="DYD61" s="64">
        <f t="shared" si="1330"/>
        <v>3322</v>
      </c>
      <c r="DYE61" s="68">
        <f t="shared" si="1331"/>
        <v>553.66666666666663</v>
      </c>
      <c r="DYF61" s="48">
        <v>0</v>
      </c>
      <c r="DYG61" s="49">
        <v>0</v>
      </c>
      <c r="DYH61" s="49">
        <v>0</v>
      </c>
      <c r="DYI61" s="49">
        <v>900</v>
      </c>
      <c r="DYJ61" s="49">
        <v>0</v>
      </c>
      <c r="DYK61" s="49"/>
      <c r="DYL61" s="64">
        <f t="shared" si="1332"/>
        <v>900</v>
      </c>
      <c r="DYM61" s="68">
        <f t="shared" si="1333"/>
        <v>150</v>
      </c>
      <c r="DYN61" s="48"/>
      <c r="DYO61" s="49">
        <v>0</v>
      </c>
      <c r="DYP61" s="49">
        <v>0</v>
      </c>
      <c r="DYQ61" s="49">
        <v>600</v>
      </c>
      <c r="DYR61" s="49"/>
      <c r="DYS61" s="49"/>
      <c r="DYT61" s="64">
        <f t="shared" si="1334"/>
        <v>600</v>
      </c>
      <c r="DYU61" s="68">
        <f t="shared" si="1335"/>
        <v>100</v>
      </c>
      <c r="DYV61" s="48">
        <v>0</v>
      </c>
      <c r="DYW61" s="49">
        <v>1467</v>
      </c>
      <c r="DYX61" s="49">
        <v>494</v>
      </c>
      <c r="DYY61" s="49">
        <v>0</v>
      </c>
      <c r="DYZ61" s="49">
        <v>1230</v>
      </c>
      <c r="DZA61" s="49">
        <v>2238</v>
      </c>
      <c r="DZB61" s="64">
        <f t="shared" si="1336"/>
        <v>5429</v>
      </c>
      <c r="DZC61" s="68">
        <f t="shared" si="1337"/>
        <v>904.83333333333337</v>
      </c>
      <c r="DZD61" s="48"/>
      <c r="DZE61" s="49"/>
      <c r="DZF61" s="49"/>
      <c r="DZG61" s="49">
        <v>0</v>
      </c>
      <c r="DZH61" s="49">
        <v>967</v>
      </c>
      <c r="DZI61" s="49">
        <v>667</v>
      </c>
      <c r="DZJ61" s="64">
        <f t="shared" si="1338"/>
        <v>1634</v>
      </c>
      <c r="DZK61" s="68">
        <f t="shared" si="1339"/>
        <v>272.33333333333331</v>
      </c>
      <c r="DZL61" s="48">
        <v>0</v>
      </c>
      <c r="DZM61" s="49">
        <v>0</v>
      </c>
      <c r="DZN61" s="49"/>
      <c r="DZO61" s="49"/>
      <c r="DZP61" s="49">
        <v>330</v>
      </c>
      <c r="DZQ61" s="49">
        <v>1000</v>
      </c>
      <c r="DZR61" s="64">
        <f t="shared" si="1340"/>
        <v>1330</v>
      </c>
      <c r="DZS61" s="68">
        <f t="shared" si="1341"/>
        <v>221.66666666666666</v>
      </c>
      <c r="DZT61" s="48">
        <v>660</v>
      </c>
      <c r="DZU61" s="49">
        <v>988</v>
      </c>
      <c r="DZV61" s="49"/>
      <c r="DZW61" s="49"/>
      <c r="DZX61" s="49"/>
      <c r="DZY61" s="49"/>
      <c r="DZZ61" s="64">
        <f t="shared" si="1342"/>
        <v>1648</v>
      </c>
      <c r="EAA61" s="68">
        <f t="shared" si="1343"/>
        <v>274.66666666666669</v>
      </c>
      <c r="EAB61" s="48"/>
      <c r="EAC61" s="49"/>
      <c r="EAD61" s="49">
        <v>0</v>
      </c>
      <c r="EAE61" s="49"/>
      <c r="EAF61" s="49">
        <v>989</v>
      </c>
      <c r="EAG61" s="49"/>
      <c r="EAH61" s="64">
        <f t="shared" si="1344"/>
        <v>989</v>
      </c>
      <c r="EAI61" s="68">
        <f t="shared" si="1345"/>
        <v>164.83333333333334</v>
      </c>
      <c r="EAJ61" s="48">
        <v>0</v>
      </c>
      <c r="EAK61" s="49"/>
      <c r="EAL61" s="49"/>
      <c r="EAM61" s="49"/>
      <c r="EAN61" s="49">
        <v>0</v>
      </c>
      <c r="EAO61" s="49">
        <v>0</v>
      </c>
      <c r="EAP61" s="64">
        <f t="shared" si="1346"/>
        <v>0</v>
      </c>
      <c r="EAQ61" s="68">
        <f t="shared" si="1347"/>
        <v>0</v>
      </c>
      <c r="EAR61" s="48"/>
      <c r="EAS61" s="49"/>
      <c r="EAT61" s="49">
        <v>1210</v>
      </c>
      <c r="EAU61" s="49">
        <v>445</v>
      </c>
      <c r="EAV61" s="49">
        <v>0</v>
      </c>
      <c r="EAW61" s="49"/>
      <c r="EAX61" s="64">
        <f t="shared" si="1348"/>
        <v>1655</v>
      </c>
      <c r="EAY61" s="68">
        <f t="shared" si="1349"/>
        <v>275.83333333333331</v>
      </c>
      <c r="EAZ61" s="48"/>
      <c r="EBA61" s="49"/>
      <c r="EBB61" s="49">
        <v>2327</v>
      </c>
      <c r="EBC61" s="49">
        <v>0</v>
      </c>
      <c r="EBD61" s="49">
        <v>0</v>
      </c>
      <c r="EBE61" s="49">
        <v>0</v>
      </c>
      <c r="EBF61" s="64">
        <f t="shared" si="1350"/>
        <v>2327</v>
      </c>
      <c r="EBG61" s="68">
        <f t="shared" si="1351"/>
        <v>387.83333333333331</v>
      </c>
      <c r="EBH61" s="48">
        <v>0</v>
      </c>
      <c r="EBI61" s="49">
        <v>0</v>
      </c>
      <c r="EBJ61" s="49">
        <v>1912</v>
      </c>
      <c r="EBK61" s="49">
        <v>0</v>
      </c>
      <c r="EBL61" s="49"/>
      <c r="EBM61" s="49">
        <v>0</v>
      </c>
      <c r="EBN61" s="64">
        <f t="shared" si="1352"/>
        <v>1912</v>
      </c>
      <c r="EBO61" s="68">
        <f t="shared" si="1353"/>
        <v>318.66666666666669</v>
      </c>
      <c r="EBP61" s="48">
        <v>0</v>
      </c>
      <c r="EBQ61" s="49"/>
      <c r="EBR61" s="49"/>
      <c r="EBS61" s="49">
        <v>1273</v>
      </c>
      <c r="EBT61" s="49"/>
      <c r="EBU61" s="49"/>
      <c r="EBV61" s="64">
        <f t="shared" si="1354"/>
        <v>1273</v>
      </c>
      <c r="EBW61" s="68">
        <f t="shared" si="1355"/>
        <v>212.16666666666666</v>
      </c>
      <c r="EBX61" s="48">
        <v>1672</v>
      </c>
      <c r="EBY61" s="49"/>
      <c r="EBZ61" s="49">
        <v>0</v>
      </c>
      <c r="ECA61" s="49"/>
      <c r="ECB61" s="49">
        <v>0</v>
      </c>
      <c r="ECC61" s="49">
        <v>0</v>
      </c>
      <c r="ECD61" s="64">
        <f t="shared" si="1356"/>
        <v>1672</v>
      </c>
      <c r="ECE61" s="68">
        <f t="shared" si="1357"/>
        <v>278.66666666666669</v>
      </c>
      <c r="ECF61" s="48">
        <v>1594</v>
      </c>
      <c r="ECG61" s="49"/>
      <c r="ECH61" s="49"/>
      <c r="ECI61" s="49"/>
      <c r="ECJ61" s="49"/>
      <c r="ECK61" s="49"/>
      <c r="ECL61" s="64">
        <f t="shared" si="1358"/>
        <v>1594</v>
      </c>
      <c r="ECM61" s="68">
        <f t="shared" si="1359"/>
        <v>265.66666666666669</v>
      </c>
      <c r="ECN61" s="48"/>
      <c r="ECO61" s="49"/>
      <c r="ECP61" s="49"/>
      <c r="ECQ61" s="49"/>
      <c r="ECR61" s="49"/>
      <c r="ECS61" s="49"/>
      <c r="ECT61" s="64">
        <f t="shared" si="1360"/>
        <v>0</v>
      </c>
      <c r="ECU61" s="68">
        <f t="shared" si="1361"/>
        <v>0</v>
      </c>
      <c r="ECV61" s="48"/>
      <c r="ECW61" s="49">
        <v>990</v>
      </c>
      <c r="ECX61" s="49">
        <v>339</v>
      </c>
      <c r="ECY61" s="49"/>
      <c r="ECZ61" s="49"/>
      <c r="EDA61" s="49"/>
      <c r="EDB61" s="64">
        <f t="shared" si="1362"/>
        <v>1329</v>
      </c>
      <c r="EDC61" s="68">
        <f t="shared" si="1363"/>
        <v>221.5</v>
      </c>
      <c r="EDD61" s="48"/>
      <c r="EDE61" s="49"/>
      <c r="EDF61" s="49">
        <v>0</v>
      </c>
      <c r="EDG61" s="49"/>
      <c r="EDH61" s="49"/>
      <c r="EDI61" s="49">
        <v>1333</v>
      </c>
      <c r="EDJ61" s="64">
        <f t="shared" si="1364"/>
        <v>1333</v>
      </c>
      <c r="EDK61" s="68">
        <f t="shared" si="1365"/>
        <v>222.16666666666666</v>
      </c>
      <c r="EDL61" s="48"/>
      <c r="EDM61" s="49">
        <v>1325</v>
      </c>
      <c r="EDN61" s="49"/>
      <c r="EDO61" s="49"/>
      <c r="EDP61" s="49"/>
      <c r="EDQ61" s="49"/>
      <c r="EDR61" s="64">
        <f t="shared" si="1366"/>
        <v>1325</v>
      </c>
      <c r="EDS61" s="68">
        <f t="shared" si="1367"/>
        <v>220.83333333333334</v>
      </c>
      <c r="EDT61" s="48">
        <v>220</v>
      </c>
      <c r="EDU61" s="49">
        <v>569</v>
      </c>
      <c r="EDV61" s="49"/>
      <c r="EDW61" s="49">
        <v>1617</v>
      </c>
      <c r="EDX61" s="49"/>
      <c r="EDY61" s="49"/>
      <c r="EDZ61" s="64">
        <f t="shared" si="1368"/>
        <v>2406</v>
      </c>
      <c r="EEA61" s="68">
        <f t="shared" si="1369"/>
        <v>401</v>
      </c>
      <c r="EEB61" s="48">
        <v>880</v>
      </c>
      <c r="EEC61" s="49">
        <v>2438</v>
      </c>
      <c r="EED61" s="49"/>
      <c r="EEE61" s="49"/>
      <c r="EEF61" s="49">
        <v>0</v>
      </c>
      <c r="EEG61" s="49"/>
      <c r="EEH61" s="64">
        <f t="shared" si="1370"/>
        <v>3318</v>
      </c>
      <c r="EEI61" s="68">
        <f t="shared" si="1371"/>
        <v>553</v>
      </c>
      <c r="EEJ61" s="50">
        <v>0</v>
      </c>
      <c r="EEK61" s="51">
        <v>0</v>
      </c>
      <c r="EEL61" s="51"/>
      <c r="EEM61" s="51"/>
      <c r="EEN61" s="51">
        <v>0</v>
      </c>
      <c r="EEO61" s="51">
        <v>1594</v>
      </c>
      <c r="EEP61" s="66">
        <f t="shared" si="1372"/>
        <v>1594</v>
      </c>
      <c r="EEQ61" s="70">
        <f t="shared" si="1373"/>
        <v>265.66666666666669</v>
      </c>
      <c r="EER61" s="50">
        <v>0</v>
      </c>
      <c r="EES61" s="51">
        <v>1320</v>
      </c>
      <c r="EET61" s="51">
        <v>282</v>
      </c>
      <c r="EEU61" s="51"/>
      <c r="EEV61" s="51"/>
      <c r="EEW61" s="51"/>
      <c r="EEX61" s="66">
        <f t="shared" si="1374"/>
        <v>1602</v>
      </c>
      <c r="EEY61" s="70">
        <f t="shared" si="1375"/>
        <v>267</v>
      </c>
      <c r="EEZ61" s="50">
        <v>0</v>
      </c>
      <c r="EFA61" s="51"/>
      <c r="EFB61" s="51"/>
      <c r="EFC61" s="51"/>
      <c r="EFD61" s="51">
        <v>1100</v>
      </c>
      <c r="EFE61" s="51">
        <v>1793</v>
      </c>
      <c r="EFF61" s="66">
        <f t="shared" si="1376"/>
        <v>2893</v>
      </c>
      <c r="EFG61" s="70">
        <f t="shared" si="1377"/>
        <v>482.16666666666669</v>
      </c>
      <c r="EFH61" s="50"/>
      <c r="EFI61" s="51">
        <v>0</v>
      </c>
      <c r="EFJ61" s="51">
        <v>0</v>
      </c>
      <c r="EFK61" s="51"/>
      <c r="EFL61" s="51"/>
      <c r="EFM61" s="51">
        <v>1946</v>
      </c>
      <c r="EFN61" s="66">
        <f t="shared" si="1378"/>
        <v>1946</v>
      </c>
      <c r="EFO61" s="70">
        <f t="shared" si="1379"/>
        <v>324.33333333333331</v>
      </c>
      <c r="EFP61" s="50"/>
      <c r="EFQ61" s="51"/>
      <c r="EFR61" s="51"/>
      <c r="EFS61" s="51"/>
      <c r="EFT61" s="51"/>
      <c r="EFU61" s="51">
        <v>0</v>
      </c>
      <c r="EFV61" s="66">
        <f t="shared" si="1380"/>
        <v>0</v>
      </c>
      <c r="EFW61" s="70">
        <f t="shared" si="1381"/>
        <v>0</v>
      </c>
      <c r="EFX61" s="50">
        <v>0</v>
      </c>
      <c r="EFY61" s="51"/>
      <c r="EFZ61" s="51"/>
      <c r="EGA61" s="51">
        <v>2600</v>
      </c>
      <c r="EGB61" s="51">
        <v>0</v>
      </c>
      <c r="EGC61" s="51"/>
      <c r="EGD61" s="66">
        <f t="shared" si="1382"/>
        <v>2600</v>
      </c>
      <c r="EGE61" s="70">
        <f t="shared" si="1383"/>
        <v>433.33333333333331</v>
      </c>
      <c r="EGF61" s="50">
        <v>2622</v>
      </c>
      <c r="EGG61" s="51"/>
      <c r="EGH61" s="51"/>
      <c r="EGI61" s="51"/>
      <c r="EGJ61" s="51">
        <v>1916</v>
      </c>
      <c r="EGK61" s="51">
        <v>0</v>
      </c>
      <c r="EGL61" s="66">
        <f t="shared" si="1384"/>
        <v>4538</v>
      </c>
      <c r="EGM61" s="70">
        <f t="shared" si="1385"/>
        <v>756.33333333333337</v>
      </c>
      <c r="EGN61" s="50">
        <v>0</v>
      </c>
      <c r="EGO61" s="51"/>
      <c r="EGP61" s="51">
        <v>2478</v>
      </c>
      <c r="EGQ61" s="51">
        <v>455</v>
      </c>
      <c r="EGR61" s="51"/>
      <c r="EGS61" s="51">
        <v>1320</v>
      </c>
      <c r="EGT61" s="66">
        <f t="shared" si="1386"/>
        <v>4253</v>
      </c>
      <c r="EGU61" s="70">
        <f t="shared" si="1387"/>
        <v>708.83333333333337</v>
      </c>
      <c r="EGV61" s="50">
        <v>316</v>
      </c>
      <c r="EGW61" s="51"/>
      <c r="EGX61" s="51"/>
      <c r="EGY61" s="51">
        <v>3640</v>
      </c>
      <c r="EGZ61" s="51">
        <v>0</v>
      </c>
      <c r="EHA61" s="51">
        <v>316</v>
      </c>
      <c r="EHB61" s="64">
        <f t="shared" ref="EHB61" si="2437">SUM(EGV61:EHA61)</f>
        <v>4272</v>
      </c>
      <c r="EHC61" s="68">
        <f t="shared" ref="EHC61" si="2438">EHB61/$EHC$5</f>
        <v>712</v>
      </c>
      <c r="EHD61" s="50">
        <v>1851</v>
      </c>
      <c r="EHE61" s="51"/>
      <c r="EHF61" s="51"/>
      <c r="EHG61" s="51"/>
      <c r="EHH61" s="51"/>
      <c r="EHI61" s="51">
        <v>0</v>
      </c>
      <c r="EHJ61" s="66">
        <f t="shared" si="1390"/>
        <v>1851</v>
      </c>
      <c r="EHK61" s="70">
        <f t="shared" si="1391"/>
        <v>308.5</v>
      </c>
      <c r="EHL61" s="50"/>
      <c r="EHM61" s="51">
        <v>0</v>
      </c>
      <c r="EHN61" s="51"/>
      <c r="EHO61" s="51">
        <v>220</v>
      </c>
      <c r="EHP61" s="51">
        <v>1529</v>
      </c>
      <c r="EHQ61" s="51">
        <v>763</v>
      </c>
      <c r="EHR61" s="66">
        <f t="shared" si="1392"/>
        <v>2512</v>
      </c>
      <c r="EHS61" s="70">
        <f t="shared" si="1393"/>
        <v>418.66666666666669</v>
      </c>
      <c r="EHT61" s="50">
        <v>1729</v>
      </c>
      <c r="EHU61" s="51"/>
      <c r="EHV61" s="51"/>
      <c r="EHW61" s="51">
        <v>575</v>
      </c>
      <c r="EHX61" s="51">
        <v>0</v>
      </c>
      <c r="EHY61" s="51"/>
      <c r="EHZ61" s="66">
        <f t="shared" si="1394"/>
        <v>2304</v>
      </c>
      <c r="EIA61" s="70">
        <f t="shared" si="1395"/>
        <v>384</v>
      </c>
      <c r="EIB61" s="50">
        <v>1986</v>
      </c>
      <c r="EIC61" s="51">
        <v>3575</v>
      </c>
      <c r="EID61" s="51">
        <v>373</v>
      </c>
      <c r="EIE61" s="51">
        <v>0</v>
      </c>
      <c r="EIF61" s="51"/>
      <c r="EIG61" s="51"/>
      <c r="EIH61" s="66">
        <f t="shared" si="1396"/>
        <v>5934</v>
      </c>
      <c r="EII61" s="70">
        <f t="shared" si="1397"/>
        <v>989</v>
      </c>
      <c r="EIJ61" s="50">
        <v>2320</v>
      </c>
      <c r="EIK61" s="51">
        <v>848</v>
      </c>
      <c r="EIL61" s="51"/>
      <c r="EIM61" s="51">
        <v>0</v>
      </c>
      <c r="EIN61" s="51">
        <v>800</v>
      </c>
      <c r="EIO61" s="51">
        <v>2219</v>
      </c>
      <c r="EIP61" s="66">
        <f t="shared" si="1398"/>
        <v>6187</v>
      </c>
      <c r="EIQ61" s="70">
        <f t="shared" si="1399"/>
        <v>1031.1666666666667</v>
      </c>
      <c r="EIR61" s="50"/>
      <c r="EIS61" s="51"/>
      <c r="EIT61" s="51">
        <v>1329</v>
      </c>
      <c r="EIU61" s="51"/>
      <c r="EIV61" s="51"/>
      <c r="EIW61" s="51"/>
      <c r="EIX61" s="66">
        <f t="shared" si="1400"/>
        <v>1329</v>
      </c>
      <c r="EIY61" s="70">
        <f t="shared" si="1401"/>
        <v>221.5</v>
      </c>
      <c r="EIZ61" s="50"/>
      <c r="EJA61" s="51"/>
      <c r="EJB61" s="51"/>
      <c r="EJC61" s="51">
        <v>0</v>
      </c>
      <c r="EJD61" s="51">
        <v>1931</v>
      </c>
      <c r="EJE61" s="51"/>
      <c r="EJF61" s="66">
        <f t="shared" si="1402"/>
        <v>1931</v>
      </c>
      <c r="EJG61" s="70">
        <f t="shared" si="1403"/>
        <v>321.83333333333331</v>
      </c>
      <c r="EJH61" s="50">
        <v>1540</v>
      </c>
      <c r="EJI61" s="51">
        <v>987</v>
      </c>
      <c r="EJJ61" s="51"/>
      <c r="EJK61" s="51"/>
      <c r="EJL61" s="51"/>
      <c r="EJM61" s="51"/>
      <c r="EJN61" s="66">
        <f t="shared" si="1404"/>
        <v>2527</v>
      </c>
      <c r="EJO61" s="70">
        <f t="shared" si="1405"/>
        <v>421.16666666666669</v>
      </c>
      <c r="EJP61" s="50"/>
      <c r="EJQ61" s="51">
        <v>1642</v>
      </c>
      <c r="EJR61" s="51">
        <v>0</v>
      </c>
      <c r="EJS61" s="51"/>
      <c r="EJT61" s="51"/>
      <c r="EJU61" s="51">
        <v>0</v>
      </c>
      <c r="EJV61" s="66">
        <f t="shared" si="1406"/>
        <v>1642</v>
      </c>
      <c r="EJW61" s="70">
        <f t="shared" si="1407"/>
        <v>273.66666666666669</v>
      </c>
      <c r="EJX61" s="50">
        <v>990</v>
      </c>
      <c r="EJY61" s="51">
        <v>633</v>
      </c>
      <c r="EJZ61" s="51">
        <v>960</v>
      </c>
      <c r="EKA61" s="51"/>
      <c r="EKB61" s="51">
        <v>0</v>
      </c>
      <c r="EKC61" s="51"/>
      <c r="EKD61" s="66">
        <f t="shared" si="1408"/>
        <v>2583</v>
      </c>
      <c r="EKE61" s="70">
        <f t="shared" si="1409"/>
        <v>430.5</v>
      </c>
      <c r="EKF61" s="50"/>
      <c r="EKG61" s="51"/>
      <c r="EKH61" s="51"/>
      <c r="EKI61" s="51">
        <v>330</v>
      </c>
      <c r="EKJ61" s="51">
        <v>1687</v>
      </c>
      <c r="EKK61" s="51"/>
      <c r="EKL61" s="66">
        <f t="shared" si="1410"/>
        <v>2017</v>
      </c>
      <c r="EKM61" s="70">
        <f t="shared" si="1411"/>
        <v>336.16666666666669</v>
      </c>
      <c r="EKN61" s="50">
        <v>0</v>
      </c>
      <c r="EKO61" s="51"/>
      <c r="EKP61" s="51">
        <v>220</v>
      </c>
      <c r="EKQ61" s="51">
        <v>1406</v>
      </c>
      <c r="EKR61" s="51"/>
      <c r="EKS61" s="51">
        <v>0</v>
      </c>
      <c r="EKT61" s="66">
        <f t="shared" si="1412"/>
        <v>1626</v>
      </c>
      <c r="EKU61" s="210">
        <f t="shared" si="1413"/>
        <v>271</v>
      </c>
      <c r="EKV61" s="665"/>
      <c r="EKW61" s="196">
        <v>0</v>
      </c>
      <c r="EKX61" s="197"/>
      <c r="EKY61" s="197"/>
      <c r="EKZ61" s="197"/>
      <c r="ELA61" s="197">
        <v>0</v>
      </c>
      <c r="ELB61" s="197"/>
      <c r="ELC61" s="246">
        <f t="shared" si="1414"/>
        <v>0</v>
      </c>
      <c r="ELD61" s="212">
        <f t="shared" si="1415"/>
        <v>0</v>
      </c>
      <c r="ELE61" s="196">
        <v>0</v>
      </c>
      <c r="ELF61" s="197">
        <v>0</v>
      </c>
      <c r="ELG61" s="197">
        <v>0</v>
      </c>
      <c r="ELH61" s="197">
        <v>0</v>
      </c>
      <c r="ELI61" s="197">
        <v>0</v>
      </c>
      <c r="ELJ61" s="197">
        <v>1993</v>
      </c>
      <c r="ELK61" s="246">
        <f t="shared" si="1416"/>
        <v>1993</v>
      </c>
      <c r="ELL61" s="212">
        <f t="shared" si="1417"/>
        <v>332.16666666666669</v>
      </c>
      <c r="ELM61" s="196">
        <v>0</v>
      </c>
      <c r="ELN61" s="197"/>
      <c r="ELO61" s="197">
        <v>1989</v>
      </c>
      <c r="ELP61" s="197"/>
      <c r="ELQ61" s="197"/>
      <c r="ELR61" s="197">
        <v>0</v>
      </c>
      <c r="ELS61" s="246">
        <f t="shared" si="1418"/>
        <v>1989</v>
      </c>
      <c r="ELT61" s="212">
        <f t="shared" si="1419"/>
        <v>331.5</v>
      </c>
      <c r="ELU61" s="196"/>
      <c r="ELV61" s="197"/>
      <c r="ELW61" s="197"/>
      <c r="ELX61" s="197"/>
      <c r="ELY61" s="197"/>
      <c r="ELZ61" s="197">
        <v>1018</v>
      </c>
      <c r="EMA61" s="246">
        <f t="shared" si="1420"/>
        <v>1018</v>
      </c>
      <c r="EMB61" s="212">
        <f t="shared" si="1421"/>
        <v>169.66666666666666</v>
      </c>
      <c r="EMC61" s="196"/>
      <c r="EMD61" s="197"/>
      <c r="EME61" s="197">
        <v>1001</v>
      </c>
      <c r="EMF61" s="197"/>
      <c r="EMG61" s="197"/>
      <c r="EMH61" s="197">
        <v>2011</v>
      </c>
      <c r="EMI61" s="246">
        <f t="shared" si="1422"/>
        <v>3012</v>
      </c>
      <c r="EMJ61" s="212">
        <f t="shared" si="1423"/>
        <v>502</v>
      </c>
      <c r="EMK61" s="196"/>
      <c r="EML61" s="197"/>
      <c r="EMM61" s="197">
        <v>200</v>
      </c>
      <c r="EMN61" s="197">
        <v>1819</v>
      </c>
      <c r="EMO61" s="197">
        <v>1363</v>
      </c>
      <c r="EMP61" s="197">
        <v>1174</v>
      </c>
      <c r="EMQ61" s="246">
        <f t="shared" si="1424"/>
        <v>4556</v>
      </c>
      <c r="EMR61" s="212">
        <f t="shared" si="1425"/>
        <v>759.33333333333337</v>
      </c>
      <c r="EMS61" s="196"/>
      <c r="EMT61" s="197"/>
      <c r="EMU61" s="197"/>
      <c r="EMV61" s="197">
        <v>1652</v>
      </c>
      <c r="EMW61" s="197"/>
      <c r="EMX61" s="197">
        <v>0</v>
      </c>
      <c r="EMY61" s="246">
        <f t="shared" si="1426"/>
        <v>1652</v>
      </c>
      <c r="EMZ61" s="212">
        <f t="shared" si="1427"/>
        <v>275.33333333333331</v>
      </c>
      <c r="ENA61" s="196">
        <v>1591</v>
      </c>
      <c r="ENB61" s="197">
        <v>0</v>
      </c>
      <c r="ENC61" s="197">
        <v>1974</v>
      </c>
      <c r="END61" s="197"/>
      <c r="ENE61" s="197">
        <v>0</v>
      </c>
      <c r="ENF61" s="197">
        <v>0</v>
      </c>
      <c r="ENG61" s="246">
        <f t="shared" si="1428"/>
        <v>3565</v>
      </c>
      <c r="ENH61" s="212">
        <f t="shared" si="1429"/>
        <v>594.16666666666663</v>
      </c>
      <c r="ENI61" s="196">
        <v>1559</v>
      </c>
      <c r="ENJ61" s="197">
        <v>1940</v>
      </c>
      <c r="ENK61" s="197">
        <v>0</v>
      </c>
      <c r="ENL61" s="197">
        <v>0</v>
      </c>
      <c r="ENM61" s="197"/>
      <c r="ENN61" s="197"/>
      <c r="ENO61" s="246">
        <f t="shared" si="1430"/>
        <v>3499</v>
      </c>
      <c r="ENP61" s="212">
        <f t="shared" si="1431"/>
        <v>583.16666666666663</v>
      </c>
      <c r="ENQ61" s="196"/>
      <c r="ENR61" s="197"/>
      <c r="ENS61" s="197"/>
      <c r="ENT61" s="197">
        <v>900</v>
      </c>
      <c r="ENU61" s="197">
        <v>2068</v>
      </c>
      <c r="ENV61" s="197"/>
      <c r="ENW61" s="246">
        <f t="shared" si="1432"/>
        <v>2968</v>
      </c>
      <c r="ENX61" s="212">
        <f t="shared" si="1433"/>
        <v>494.66666666666669</v>
      </c>
      <c r="ENY61" s="196"/>
      <c r="ENZ61" s="197"/>
      <c r="EOA61" s="197">
        <v>0</v>
      </c>
      <c r="EOB61" s="197"/>
      <c r="EOC61" s="197">
        <v>1320</v>
      </c>
      <c r="EOD61" s="197">
        <v>1328</v>
      </c>
      <c r="EOE61" s="246">
        <f t="shared" si="1434"/>
        <v>2648</v>
      </c>
      <c r="EOF61" s="212">
        <f t="shared" si="1435"/>
        <v>441.33333333333331</v>
      </c>
      <c r="EOG61" s="1"/>
      <c r="EOH61" s="196"/>
      <c r="EOI61" s="197">
        <v>0</v>
      </c>
      <c r="EOJ61" s="197">
        <v>0</v>
      </c>
      <c r="EOK61" s="197"/>
      <c r="EOL61" s="197"/>
      <c r="EOM61" s="197"/>
      <c r="EON61" s="199">
        <f t="shared" si="1436"/>
        <v>0</v>
      </c>
      <c r="EOO61" s="245"/>
      <c r="EOP61" s="197"/>
      <c r="EOQ61" s="197">
        <v>950</v>
      </c>
      <c r="EOR61" s="197"/>
      <c r="EOS61" s="197"/>
      <c r="EOT61" s="197"/>
      <c r="EOU61" s="246">
        <f t="shared" si="1437"/>
        <v>950</v>
      </c>
      <c r="EOV61" s="212">
        <f t="shared" si="1438"/>
        <v>158.33333333333334</v>
      </c>
      <c r="EOW61" s="196"/>
      <c r="EOX61" s="197"/>
      <c r="EOY61" s="197">
        <v>0</v>
      </c>
      <c r="EOZ61" s="197"/>
      <c r="EPA61" s="197"/>
      <c r="EPB61" s="197">
        <v>703</v>
      </c>
      <c r="EPC61" s="246">
        <f t="shared" si="1439"/>
        <v>703</v>
      </c>
      <c r="EPD61" s="212">
        <f t="shared" si="1440"/>
        <v>117.16666666666667</v>
      </c>
      <c r="EPE61" s="196">
        <v>643</v>
      </c>
      <c r="EPF61" s="197">
        <v>913</v>
      </c>
      <c r="EPG61" s="197"/>
      <c r="EPH61" s="197">
        <v>0</v>
      </c>
      <c r="EPI61" s="197"/>
      <c r="EPJ61" s="197"/>
      <c r="EPK61" s="246">
        <f t="shared" si="1441"/>
        <v>1556</v>
      </c>
      <c r="EPL61" s="212">
        <f t="shared" si="1442"/>
        <v>259.33333333333331</v>
      </c>
      <c r="EPM61" s="196">
        <v>0</v>
      </c>
      <c r="EPN61" s="197"/>
      <c r="EPO61" s="197">
        <v>1840</v>
      </c>
      <c r="EPP61" s="197">
        <v>165</v>
      </c>
      <c r="EPQ61" s="197"/>
      <c r="EPR61" s="197"/>
      <c r="EPS61" s="246">
        <f t="shared" si="1443"/>
        <v>2005</v>
      </c>
      <c r="EPT61" s="212">
        <f t="shared" si="1444"/>
        <v>334.16666666666669</v>
      </c>
      <c r="EPU61" s="196"/>
      <c r="EPV61" s="197">
        <v>2642</v>
      </c>
      <c r="EPW61" s="197">
        <v>0</v>
      </c>
      <c r="EPX61" s="197"/>
      <c r="EPY61" s="197"/>
      <c r="EPZ61" s="197"/>
      <c r="EQA61" s="246">
        <f t="shared" si="1445"/>
        <v>2642</v>
      </c>
      <c r="EQB61" s="212">
        <f t="shared" si="1446"/>
        <v>440.33333333333331</v>
      </c>
      <c r="EQC61" s="196">
        <v>0</v>
      </c>
      <c r="EQD61" s="197">
        <v>0</v>
      </c>
      <c r="EQE61" s="197">
        <v>1297</v>
      </c>
      <c r="EQF61" s="197"/>
      <c r="EQG61" s="197">
        <v>0</v>
      </c>
      <c r="EQH61" s="197"/>
      <c r="EQI61" s="246">
        <f t="shared" si="1447"/>
        <v>1297</v>
      </c>
      <c r="EQJ61" s="212">
        <f t="shared" si="1448"/>
        <v>216.16666666666666</v>
      </c>
      <c r="EQK61" s="196"/>
      <c r="EQL61" s="197">
        <v>0</v>
      </c>
      <c r="EQM61" s="197">
        <v>966</v>
      </c>
      <c r="EQN61" s="197"/>
      <c r="EQO61" s="197"/>
      <c r="EQP61" s="197">
        <v>0</v>
      </c>
      <c r="EQQ61" s="246">
        <f t="shared" si="1449"/>
        <v>966</v>
      </c>
      <c r="EQR61" s="212">
        <f t="shared" si="1450"/>
        <v>161</v>
      </c>
      <c r="EQS61" s="196">
        <v>0</v>
      </c>
      <c r="EQT61" s="197">
        <v>0</v>
      </c>
      <c r="EQU61" s="197">
        <v>1624</v>
      </c>
      <c r="EQV61" s="197"/>
      <c r="EQW61" s="197"/>
      <c r="EQX61" s="197"/>
      <c r="EQY61" s="246">
        <f t="shared" si="1451"/>
        <v>1624</v>
      </c>
      <c r="EQZ61" s="212">
        <f t="shared" si="1452"/>
        <v>270.66666666666669</v>
      </c>
      <c r="ERA61" s="196"/>
      <c r="ERB61" s="197">
        <v>0</v>
      </c>
      <c r="ERC61" s="197"/>
      <c r="ERD61" s="197"/>
      <c r="ERE61" s="197"/>
      <c r="ERF61" s="197"/>
      <c r="ERG61" s="246">
        <f t="shared" si="1453"/>
        <v>0</v>
      </c>
      <c r="ERH61" s="212">
        <f t="shared" si="1454"/>
        <v>0</v>
      </c>
      <c r="ERI61" s="196"/>
      <c r="ERJ61" s="197">
        <v>1683</v>
      </c>
      <c r="ERK61" s="197"/>
      <c r="ERL61" s="197"/>
      <c r="ERM61" s="197">
        <v>0</v>
      </c>
      <c r="ERN61" s="197"/>
      <c r="ERO61" s="246">
        <f t="shared" si="1455"/>
        <v>1683</v>
      </c>
      <c r="ERP61" s="212">
        <f t="shared" si="1456"/>
        <v>280.5</v>
      </c>
      <c r="ERQ61" s="196"/>
      <c r="ERR61" s="197">
        <v>1633</v>
      </c>
      <c r="ERS61" s="197"/>
      <c r="ERT61" s="197"/>
      <c r="ERU61" s="197"/>
      <c r="ERV61" s="197"/>
      <c r="ERW61" s="246">
        <f t="shared" si="1457"/>
        <v>1633</v>
      </c>
      <c r="ERX61" s="212">
        <f t="shared" si="1458"/>
        <v>272.16666666666669</v>
      </c>
      <c r="ERY61" s="196"/>
      <c r="ERZ61" s="197">
        <v>887</v>
      </c>
      <c r="ESA61" s="197"/>
      <c r="ESB61" s="197"/>
      <c r="ESC61" s="197">
        <v>0</v>
      </c>
      <c r="ESD61" s="197"/>
      <c r="ESE61" s="246">
        <f t="shared" si="1459"/>
        <v>887</v>
      </c>
      <c r="ESF61" s="212">
        <f t="shared" si="1460"/>
        <v>147.83333333333334</v>
      </c>
      <c r="ESG61" s="196">
        <v>0</v>
      </c>
      <c r="ESH61" s="197">
        <v>0</v>
      </c>
      <c r="ESI61" s="197">
        <v>0</v>
      </c>
      <c r="ESJ61" s="197"/>
      <c r="ESK61" s="197"/>
      <c r="ESL61" s="197"/>
      <c r="ESM61" s="64">
        <f t="shared" si="1461"/>
        <v>0</v>
      </c>
      <c r="ESN61" s="211">
        <f t="shared" si="1462"/>
        <v>0</v>
      </c>
      <c r="ESO61" s="459"/>
      <c r="ESP61" s="460">
        <v>0</v>
      </c>
      <c r="ESQ61" s="460">
        <v>0</v>
      </c>
      <c r="ESR61" s="460">
        <v>0</v>
      </c>
      <c r="ESS61" s="460">
        <v>100</v>
      </c>
      <c r="EST61" s="460">
        <v>576</v>
      </c>
      <c r="ESU61" s="246">
        <f t="shared" si="1463"/>
        <v>676</v>
      </c>
      <c r="ESV61" s="212">
        <f t="shared" si="1464"/>
        <v>112.66666666666667</v>
      </c>
      <c r="ESW61" s="196"/>
      <c r="ESX61" s="197">
        <v>0</v>
      </c>
      <c r="ESY61" s="197"/>
      <c r="ESZ61" s="197">
        <v>0</v>
      </c>
      <c r="ETA61" s="197"/>
      <c r="ETB61" s="197"/>
      <c r="ETC61" s="810">
        <f t="shared" si="1465"/>
        <v>0</v>
      </c>
      <c r="ETD61" s="212">
        <f t="shared" si="1466"/>
        <v>0</v>
      </c>
      <c r="ETE61" s="196">
        <v>0</v>
      </c>
      <c r="ETF61" s="197"/>
      <c r="ETG61" s="197">
        <v>0</v>
      </c>
      <c r="ETH61" s="197">
        <v>0</v>
      </c>
      <c r="ETI61" s="197"/>
      <c r="ETJ61" s="197"/>
      <c r="ETK61" s="810">
        <f t="shared" si="1467"/>
        <v>0</v>
      </c>
      <c r="ETL61" s="212">
        <f t="shared" si="1468"/>
        <v>0</v>
      </c>
      <c r="ETM61" s="816"/>
      <c r="ETN61" s="817"/>
      <c r="ETO61" s="817">
        <v>0</v>
      </c>
      <c r="ETP61" s="817">
        <v>0</v>
      </c>
      <c r="ETQ61" s="817"/>
      <c r="ETR61" s="817">
        <v>688</v>
      </c>
      <c r="ETS61" s="810">
        <f t="shared" si="1469"/>
        <v>688</v>
      </c>
      <c r="ETT61" s="212">
        <f t="shared" si="1470"/>
        <v>114.66666666666667</v>
      </c>
      <c r="ETU61" s="459"/>
      <c r="ETV61" s="460"/>
      <c r="ETW61" s="460">
        <v>657</v>
      </c>
      <c r="ETX61" s="460">
        <v>0</v>
      </c>
      <c r="ETY61" s="460"/>
      <c r="ETZ61" s="460"/>
      <c r="EUA61" s="810">
        <f t="shared" si="1471"/>
        <v>657</v>
      </c>
      <c r="EUB61" s="212">
        <f t="shared" si="1472"/>
        <v>109.5</v>
      </c>
      <c r="EUC61" s="459"/>
      <c r="EUD61" s="460"/>
      <c r="EUE61" s="460"/>
      <c r="EUF61" s="460">
        <v>0</v>
      </c>
      <c r="EUG61" s="460"/>
      <c r="EUH61" s="460"/>
      <c r="EUI61" s="810">
        <f t="shared" si="1473"/>
        <v>0</v>
      </c>
      <c r="EUJ61" s="212">
        <f t="shared" si="1474"/>
        <v>0</v>
      </c>
      <c r="EUK61" s="196"/>
      <c r="EUL61" s="197"/>
      <c r="EUM61" s="197"/>
      <c r="EUN61" s="197">
        <v>0</v>
      </c>
      <c r="EUO61" s="197">
        <v>0</v>
      </c>
      <c r="EUP61" s="197"/>
      <c r="EUQ61" s="810">
        <f t="shared" si="1475"/>
        <v>0</v>
      </c>
      <c r="EUR61" s="212">
        <f t="shared" si="1476"/>
        <v>0</v>
      </c>
      <c r="EUS61" s="196"/>
      <c r="EUT61" s="197">
        <v>288</v>
      </c>
      <c r="EUU61" s="197"/>
      <c r="EUV61" s="197"/>
      <c r="EUW61" s="197"/>
      <c r="EUX61" s="197"/>
      <c r="EUY61" s="810">
        <f t="shared" si="1477"/>
        <v>288</v>
      </c>
      <c r="EUZ61" s="212">
        <f t="shared" si="1478"/>
        <v>48</v>
      </c>
      <c r="EVA61" s="196">
        <v>327</v>
      </c>
      <c r="EVB61" s="197"/>
      <c r="EVC61" s="197"/>
      <c r="EVD61" s="197"/>
      <c r="EVE61" s="197"/>
      <c r="EVF61" s="197"/>
      <c r="EVG61" s="810">
        <f t="shared" si="1479"/>
        <v>327</v>
      </c>
      <c r="EVH61" s="212">
        <f t="shared" si="1480"/>
        <v>54.5</v>
      </c>
      <c r="EVI61" s="196"/>
      <c r="EVJ61" s="197"/>
      <c r="EVK61" s="197">
        <f>SUMIF(SUMPK!$B:$B,$B:$B,SUMPK!$O:$O)</f>
        <v>0</v>
      </c>
      <c r="EVL61" s="197"/>
      <c r="EVM61" s="197"/>
      <c r="EVN61" s="197">
        <v>343</v>
      </c>
      <c r="EVO61" s="810">
        <f t="shared" si="1481"/>
        <v>343</v>
      </c>
      <c r="EVP61" s="212">
        <f t="shared" si="1482"/>
        <v>57.166666666666664</v>
      </c>
      <c r="EVQ61" s="196"/>
      <c r="EVR61" s="197"/>
      <c r="EVS61" s="197"/>
      <c r="EVT61" s="197"/>
      <c r="EVU61" s="197"/>
      <c r="EVV61" s="197"/>
      <c r="EVW61" s="810">
        <f t="shared" si="1483"/>
        <v>0</v>
      </c>
      <c r="EVX61" s="212">
        <f t="shared" si="1484"/>
        <v>0</v>
      </c>
      <c r="EVY61" s="196"/>
      <c r="EVZ61" s="197"/>
      <c r="EWA61" s="197"/>
      <c r="EWB61" s="197"/>
      <c r="EWC61" s="197"/>
      <c r="EWD61" s="197"/>
      <c r="EWE61" s="810">
        <f t="shared" si="1485"/>
        <v>0</v>
      </c>
      <c r="EWF61" s="212">
        <f t="shared" si="1486"/>
        <v>0</v>
      </c>
      <c r="EWG61" s="196"/>
      <c r="EWH61" s="197"/>
      <c r="EWI61" s="197"/>
      <c r="EWJ61" s="197">
        <v>611</v>
      </c>
      <c r="EWK61" s="197"/>
      <c r="EWL61" s="197"/>
      <c r="EWM61" s="810">
        <f t="shared" si="1487"/>
        <v>611</v>
      </c>
      <c r="EWN61" s="212">
        <f t="shared" si="1488"/>
        <v>101.83333333333333</v>
      </c>
      <c r="EWO61" s="196"/>
      <c r="EWP61" s="197"/>
      <c r="EWQ61" s="197"/>
      <c r="EWR61" s="197">
        <v>330</v>
      </c>
      <c r="EWS61" s="197"/>
      <c r="EWT61" s="197"/>
      <c r="EWU61" s="810">
        <f t="shared" si="1489"/>
        <v>330</v>
      </c>
      <c r="EWV61" s="212">
        <f t="shared" si="1490"/>
        <v>55</v>
      </c>
      <c r="EWW61" s="196"/>
      <c r="EWX61" s="197"/>
      <c r="EWY61" s="197">
        <v>0</v>
      </c>
      <c r="EWZ61" s="197"/>
      <c r="EXA61" s="197"/>
      <c r="EXB61" s="197"/>
      <c r="EXC61" s="810">
        <f t="shared" si="1491"/>
        <v>0</v>
      </c>
      <c r="EXD61" s="212">
        <f t="shared" si="1492"/>
        <v>0</v>
      </c>
      <c r="EXE61" s="196"/>
      <c r="EXF61" s="197"/>
      <c r="EXG61" s="197">
        <v>308</v>
      </c>
      <c r="EXH61" s="197"/>
      <c r="EXI61" s="197"/>
      <c r="EXJ61" s="197">
        <v>0</v>
      </c>
      <c r="EXK61" s="810">
        <f t="shared" si="1493"/>
        <v>308</v>
      </c>
      <c r="EXL61" s="212">
        <f t="shared" si="1494"/>
        <v>51.333333333333336</v>
      </c>
      <c r="EXM61" s="459"/>
      <c r="EXN61" s="460"/>
      <c r="EXO61" s="460"/>
      <c r="EXP61" s="460">
        <v>295</v>
      </c>
      <c r="EXQ61" s="460"/>
      <c r="EXR61" s="460"/>
      <c r="EXS61" s="810">
        <f t="shared" si="1495"/>
        <v>295</v>
      </c>
      <c r="EXT61" s="212">
        <f t="shared" si="1496"/>
        <v>49.166666666666664</v>
      </c>
      <c r="EXU61" s="196"/>
      <c r="EXV61" s="197"/>
      <c r="EXW61" s="197"/>
      <c r="EXX61" s="197"/>
      <c r="EXY61" s="197"/>
      <c r="EXZ61" s="197">
        <v>333</v>
      </c>
      <c r="EYA61" s="810">
        <f t="shared" si="1497"/>
        <v>333</v>
      </c>
      <c r="EYB61" s="212">
        <f t="shared" si="1498"/>
        <v>55.5</v>
      </c>
      <c r="EYC61" s="196">
        <v>0</v>
      </c>
      <c r="EYD61" s="197"/>
      <c r="EYE61" s="197"/>
      <c r="EYF61" s="197"/>
      <c r="EYG61" s="197"/>
      <c r="EYH61" s="197">
        <v>0</v>
      </c>
      <c r="EYI61" s="810">
        <f t="shared" si="1499"/>
        <v>0</v>
      </c>
      <c r="EYJ61" s="212">
        <f t="shared" si="1500"/>
        <v>0</v>
      </c>
      <c r="EYK61" s="196">
        <v>0</v>
      </c>
      <c r="EYL61" s="197"/>
      <c r="EYM61" s="197"/>
      <c r="EYN61" s="197"/>
      <c r="EYO61" s="197"/>
      <c r="EYP61" s="197"/>
      <c r="EYQ61" s="810">
        <f t="shared" si="1501"/>
        <v>0</v>
      </c>
      <c r="EYR61" s="212">
        <f t="shared" si="1502"/>
        <v>0</v>
      </c>
      <c r="EYS61" s="196">
        <v>0</v>
      </c>
      <c r="EYT61" s="197"/>
      <c r="EYU61" s="197">
        <v>0</v>
      </c>
      <c r="EYV61" s="197"/>
      <c r="EYW61" s="197"/>
      <c r="EYX61" s="197"/>
      <c r="EYY61" s="878">
        <f t="shared" si="1503"/>
        <v>0</v>
      </c>
      <c r="EYZ61" s="879">
        <f t="shared" si="1504"/>
        <v>0</v>
      </c>
      <c r="EZA61" s="196">
        <v>0</v>
      </c>
      <c r="EZB61" s="197">
        <v>0</v>
      </c>
      <c r="EZC61" s="197"/>
      <c r="EZD61" s="197"/>
      <c r="EZE61" s="197">
        <v>0</v>
      </c>
      <c r="EZF61" s="197"/>
      <c r="EZG61" s="878">
        <f t="shared" si="1505"/>
        <v>0</v>
      </c>
      <c r="EZH61" s="879">
        <f t="shared" si="1506"/>
        <v>0</v>
      </c>
      <c r="EZI61" s="196"/>
      <c r="EZJ61" s="197">
        <v>0</v>
      </c>
      <c r="EZK61" s="197"/>
      <c r="EZL61" s="197">
        <v>0</v>
      </c>
      <c r="EZM61" s="197"/>
      <c r="EZN61" s="197"/>
      <c r="EZO61" s="878">
        <f t="shared" si="1507"/>
        <v>0</v>
      </c>
      <c r="EZP61" s="879">
        <f t="shared" si="1508"/>
        <v>0</v>
      </c>
      <c r="EZQ61" s="459"/>
      <c r="EZR61" s="460"/>
      <c r="EZS61" s="460"/>
      <c r="EZT61" s="460"/>
      <c r="EZU61" s="460"/>
      <c r="EZV61" s="460"/>
      <c r="EZW61" s="878">
        <f t="shared" si="1509"/>
        <v>0</v>
      </c>
      <c r="EZX61" s="873">
        <f t="shared" si="1510"/>
        <v>0</v>
      </c>
      <c r="EZY61" s="196">
        <v>0</v>
      </c>
      <c r="EZZ61" s="197"/>
      <c r="FAA61" s="197"/>
      <c r="FAB61" s="197"/>
      <c r="FAC61" s="197"/>
      <c r="FAD61" s="197"/>
      <c r="FAE61" s="878">
        <f t="shared" si="1511"/>
        <v>0</v>
      </c>
      <c r="FAF61" s="879">
        <f t="shared" si="1512"/>
        <v>0</v>
      </c>
    </row>
    <row r="62" spans="1:4088" s="8" customFormat="1" ht="13.5" thickBot="1" x14ac:dyDescent="0.25">
      <c r="A62" s="1008" t="s">
        <v>14</v>
      </c>
      <c r="B62" s="1008"/>
      <c r="C62" s="1008"/>
      <c r="D62" s="469">
        <v>25</v>
      </c>
      <c r="E62" s="225">
        <f>SUM(E30:E57)</f>
        <v>0</v>
      </c>
      <c r="F62" s="225">
        <f t="shared" ref="F62:X62" si="2439">SUM(F30:F57)</f>
        <v>67888</v>
      </c>
      <c r="G62" s="225">
        <f t="shared" si="2439"/>
        <v>0</v>
      </c>
      <c r="H62" s="225">
        <f t="shared" si="2439"/>
        <v>1783</v>
      </c>
      <c r="I62" s="225">
        <f t="shared" si="2439"/>
        <v>0</v>
      </c>
      <c r="J62" s="225">
        <f t="shared" si="2439"/>
        <v>891</v>
      </c>
      <c r="K62" s="225">
        <f t="shared" si="2439"/>
        <v>0</v>
      </c>
      <c r="L62" s="225">
        <f t="shared" si="2439"/>
        <v>68780</v>
      </c>
      <c r="M62" s="225">
        <f t="shared" si="2439"/>
        <v>68780</v>
      </c>
      <c r="N62" s="225">
        <f t="shared" si="2439"/>
        <v>1777.6666666666667</v>
      </c>
      <c r="O62" s="225">
        <f t="shared" si="2439"/>
        <v>155.24996002234215</v>
      </c>
      <c r="P62" s="225">
        <f t="shared" si="2439"/>
        <v>1937.6666666666665</v>
      </c>
      <c r="Q62" s="225">
        <f t="shared" si="2439"/>
        <v>1533.3504955462317</v>
      </c>
      <c r="R62" s="225">
        <f t="shared" si="2439"/>
        <v>2100</v>
      </c>
      <c r="S62" s="225">
        <f t="shared" si="2439"/>
        <v>54600</v>
      </c>
      <c r="T62" s="225">
        <f t="shared" si="2439"/>
        <v>377.80778879856916</v>
      </c>
      <c r="U62" s="225">
        <f t="shared" si="2439"/>
        <v>0</v>
      </c>
      <c r="V62" s="225">
        <f t="shared" si="2439"/>
        <v>377.80778879856916</v>
      </c>
      <c r="W62" s="225" t="e">
        <f t="shared" si="2439"/>
        <v>#DIV/0!</v>
      </c>
      <c r="X62" s="225">
        <f t="shared" si="2439"/>
        <v>0</v>
      </c>
      <c r="Y62" s="225">
        <f>SUM(Y34:Y61)</f>
        <v>0</v>
      </c>
      <c r="Z62" s="225">
        <f>SUM(Z34:Z61)</f>
        <v>0</v>
      </c>
      <c r="AA62" s="225">
        <f>SUM(AA34:AA61)</f>
        <v>0</v>
      </c>
      <c r="AB62" s="225">
        <f>SUM(AB34:AB61)</f>
        <v>0</v>
      </c>
      <c r="AC62" s="886"/>
      <c r="AD62" s="9"/>
      <c r="AL62" s="1"/>
      <c r="AM62" s="1"/>
      <c r="AN62" s="1"/>
      <c r="AO62" s="1"/>
      <c r="AP62" s="1"/>
      <c r="AQ62" s="1"/>
      <c r="AT62" s="1"/>
      <c r="AU62" s="1"/>
      <c r="AV62" s="1"/>
      <c r="AW62" s="1"/>
      <c r="AX62" s="1"/>
      <c r="AY62" s="1"/>
      <c r="BB62" s="1"/>
      <c r="BC62" s="1"/>
      <c r="BD62" s="1"/>
      <c r="BE62" s="1"/>
      <c r="BF62" s="1"/>
      <c r="BG62" s="1"/>
      <c r="BJ62" s="1"/>
      <c r="BK62" s="1"/>
      <c r="BL62" s="1"/>
      <c r="BM62" s="1"/>
      <c r="BN62" s="1"/>
      <c r="BO62" s="1"/>
      <c r="BR62" s="1"/>
      <c r="BS62" s="1"/>
      <c r="BT62" s="1"/>
      <c r="BU62" s="1"/>
      <c r="BV62" s="1"/>
      <c r="BW62" s="1"/>
      <c r="BZ62" s="1"/>
      <c r="CA62" s="1"/>
      <c r="CB62" s="1"/>
      <c r="CC62" s="1"/>
      <c r="CD62" s="1"/>
      <c r="CE62" s="1"/>
      <c r="CH62" s="1"/>
      <c r="CI62" s="1"/>
      <c r="CJ62" s="1"/>
      <c r="CK62" s="1"/>
      <c r="CL62" s="1"/>
      <c r="CM62" s="1"/>
      <c r="CP62" s="1"/>
      <c r="CQ62" s="1"/>
      <c r="CR62" s="1"/>
      <c r="CS62" s="1"/>
      <c r="CT62" s="1"/>
      <c r="CU62" s="1"/>
      <c r="CX62" s="1"/>
      <c r="CY62" s="1"/>
      <c r="CZ62" s="1"/>
      <c r="DA62" s="1"/>
      <c r="DB62" s="1"/>
      <c r="DC62" s="1"/>
      <c r="DF62" s="1"/>
      <c r="DG62" s="1"/>
      <c r="DH62" s="1"/>
      <c r="DI62" s="1"/>
      <c r="DJ62" s="1"/>
      <c r="DK62" s="1"/>
      <c r="DN62" s="1"/>
      <c r="DO62" s="1"/>
      <c r="DP62" s="1"/>
      <c r="DQ62" s="1"/>
      <c r="DR62" s="1"/>
      <c r="DS62" s="1"/>
      <c r="DV62" s="1"/>
      <c r="DW62" s="1"/>
      <c r="DX62" s="1"/>
      <c r="DY62" s="1"/>
      <c r="DZ62" s="1"/>
      <c r="EA62" s="1"/>
      <c r="ED62" s="1"/>
      <c r="EE62" s="1"/>
      <c r="EF62" s="1"/>
      <c r="EG62" s="1"/>
      <c r="EH62" s="1"/>
      <c r="EI62" s="1"/>
      <c r="EL62" s="1"/>
      <c r="EM62" s="1"/>
      <c r="EN62" s="1"/>
      <c r="EO62" s="1"/>
      <c r="EP62" s="1"/>
      <c r="EQ62" s="1"/>
      <c r="ET62" s="1"/>
      <c r="EU62" s="1"/>
      <c r="EV62" s="1"/>
      <c r="EW62" s="1"/>
      <c r="EX62" s="1"/>
      <c r="EY62" s="1"/>
      <c r="FB62" s="1"/>
      <c r="FC62" s="1"/>
      <c r="FD62" s="1"/>
      <c r="FE62" s="1"/>
      <c r="FF62" s="1"/>
      <c r="FG62" s="1"/>
      <c r="FJ62" s="1"/>
      <c r="FK62" s="1"/>
      <c r="FL62" s="1"/>
      <c r="FM62" s="1"/>
      <c r="FN62" s="1"/>
      <c r="FO62" s="1"/>
      <c r="FR62" s="1"/>
      <c r="FS62" s="1"/>
      <c r="FT62" s="1"/>
      <c r="FU62" s="1"/>
      <c r="FV62" s="1"/>
      <c r="FW62" s="1"/>
      <c r="FZ62" s="1"/>
      <c r="GA62" s="1"/>
      <c r="GB62" s="1"/>
      <c r="GC62" s="1"/>
      <c r="GD62" s="1"/>
      <c r="GE62" s="1"/>
      <c r="GH62" s="1"/>
      <c r="GI62" s="1"/>
      <c r="GJ62" s="1"/>
      <c r="GK62" s="1"/>
      <c r="GL62" s="1"/>
      <c r="GM62" s="1"/>
      <c r="GP62" s="1"/>
      <c r="GQ62" s="1"/>
      <c r="GR62" s="1"/>
      <c r="GS62" s="1"/>
      <c r="GT62" s="1"/>
      <c r="GU62" s="1"/>
      <c r="GX62" s="1"/>
      <c r="GY62" s="1"/>
      <c r="GZ62" s="1"/>
      <c r="HA62" s="1"/>
      <c r="HB62" s="1"/>
      <c r="HC62" s="1"/>
      <c r="HF62" s="1"/>
      <c r="HG62" s="1"/>
      <c r="HH62" s="1"/>
      <c r="HI62" s="1"/>
      <c r="HJ62" s="1"/>
      <c r="HK62" s="1"/>
      <c r="HN62" s="77"/>
      <c r="HO62" s="77"/>
      <c r="HP62" s="77"/>
      <c r="HQ62" s="77"/>
      <c r="HR62" s="77"/>
      <c r="HS62" s="77"/>
      <c r="HV62" s="1"/>
      <c r="HW62" s="1"/>
      <c r="HX62" s="1"/>
      <c r="HY62" s="1"/>
      <c r="HZ62" s="1"/>
      <c r="IA62" s="1"/>
      <c r="ID62" s="1"/>
      <c r="IE62" s="1"/>
      <c r="IF62" s="1"/>
      <c r="IG62" s="1"/>
      <c r="IH62" s="1"/>
      <c r="II62" s="1"/>
      <c r="IL62" s="1"/>
      <c r="IM62" s="1"/>
      <c r="IN62" s="1"/>
      <c r="IO62" s="1"/>
      <c r="IP62" s="1"/>
      <c r="IQ62" s="1"/>
      <c r="IT62" s="1"/>
      <c r="IU62" s="1"/>
      <c r="IV62" s="1"/>
      <c r="IW62" s="1"/>
      <c r="IX62" s="1"/>
      <c r="IY62" s="1"/>
      <c r="JB62" s="1"/>
      <c r="JC62" s="1"/>
      <c r="JD62" s="1"/>
      <c r="JE62" s="1"/>
      <c r="JF62" s="1"/>
      <c r="JG62" s="1"/>
      <c r="JJ62" s="1"/>
      <c r="JK62" s="1"/>
      <c r="JL62" s="1"/>
      <c r="JM62" s="1"/>
      <c r="JN62" s="1"/>
      <c r="JO62" s="1"/>
      <c r="JR62" s="1"/>
      <c r="JS62" s="1"/>
      <c r="JT62" s="1"/>
      <c r="JU62" s="1"/>
      <c r="JV62" s="1"/>
      <c r="JW62" s="1"/>
      <c r="JZ62" s="1"/>
      <c r="KA62" s="1"/>
      <c r="KB62" s="1"/>
      <c r="KC62" s="1"/>
      <c r="KD62" s="1"/>
      <c r="KE62" s="1"/>
      <c r="KH62" s="1"/>
      <c r="KI62" s="1"/>
      <c r="KJ62" s="1"/>
      <c r="KK62" s="1"/>
      <c r="KL62" s="1"/>
      <c r="KM62" s="1"/>
      <c r="KP62" s="1"/>
      <c r="KQ62" s="1"/>
      <c r="KR62" s="1"/>
      <c r="KS62" s="1"/>
      <c r="KT62" s="1"/>
      <c r="KU62" s="1"/>
      <c r="KX62" s="1"/>
      <c r="KY62" s="1"/>
      <c r="KZ62" s="1"/>
      <c r="LA62" s="1"/>
      <c r="LB62" s="1"/>
      <c r="LC62" s="1"/>
      <c r="LF62" s="1"/>
      <c r="LG62" s="1"/>
      <c r="LH62" s="1"/>
      <c r="LI62" s="1"/>
      <c r="LJ62" s="1"/>
      <c r="LK62" s="1"/>
      <c r="LN62" s="1"/>
      <c r="LO62" s="1"/>
      <c r="LP62" s="1"/>
      <c r="LQ62" s="1"/>
      <c r="LR62" s="1"/>
      <c r="LS62" s="1"/>
      <c r="LV62" s="1"/>
      <c r="LW62" s="1"/>
      <c r="LX62" s="1"/>
      <c r="LY62" s="1"/>
      <c r="LZ62" s="1"/>
      <c r="MA62" s="1"/>
      <c r="MD62" s="1"/>
      <c r="ME62" s="1"/>
      <c r="MF62" s="1"/>
      <c r="MG62" s="1"/>
      <c r="MH62" s="1"/>
      <c r="MI62" s="1"/>
      <c r="ML62" s="1"/>
      <c r="MM62" s="1"/>
      <c r="MN62" s="1"/>
      <c r="MO62" s="1"/>
      <c r="MP62" s="1"/>
      <c r="MQ62" s="1"/>
      <c r="MT62" s="1"/>
      <c r="MU62" s="1"/>
      <c r="MV62" s="1"/>
      <c r="MW62" s="1"/>
      <c r="MX62" s="1"/>
      <c r="MY62" s="1"/>
      <c r="NB62" s="1"/>
      <c r="NC62" s="1"/>
      <c r="ND62" s="1"/>
      <c r="NE62" s="1"/>
      <c r="NF62" s="1"/>
      <c r="NG62" s="1"/>
      <c r="NJ62" s="1"/>
      <c r="NK62" s="1"/>
      <c r="NL62" s="1"/>
      <c r="NM62" s="1"/>
      <c r="NN62" s="1"/>
      <c r="NO62" s="1"/>
      <c r="NR62" s="1"/>
      <c r="NS62" s="1"/>
      <c r="NT62" s="1"/>
      <c r="NU62" s="1"/>
      <c r="NV62" s="1"/>
      <c r="NW62" s="1"/>
      <c r="NZ62" s="1"/>
      <c r="OA62" s="1"/>
      <c r="OB62" s="1"/>
      <c r="OC62" s="1"/>
      <c r="OD62" s="1"/>
      <c r="OE62" s="1"/>
      <c r="OH62" s="1"/>
      <c r="OI62" s="1"/>
      <c r="OJ62" s="1"/>
      <c r="OK62" s="1"/>
      <c r="OL62" s="1"/>
      <c r="OM62" s="1"/>
      <c r="OP62" s="1"/>
      <c r="OQ62" s="1"/>
      <c r="OR62" s="1"/>
      <c r="OS62" s="1"/>
      <c r="OT62" s="1"/>
      <c r="OU62" s="1"/>
      <c r="OX62" s="1"/>
      <c r="OY62" s="1"/>
      <c r="OZ62" s="1"/>
      <c r="PA62" s="1"/>
      <c r="PB62" s="1"/>
      <c r="PC62" s="1"/>
      <c r="PF62" s="1"/>
      <c r="PG62" s="1"/>
      <c r="PH62" s="1"/>
      <c r="PI62" s="1"/>
      <c r="PJ62" s="1"/>
      <c r="PK62" s="1"/>
      <c r="PN62" s="1"/>
      <c r="PO62" s="1"/>
      <c r="PP62" s="1"/>
      <c r="PQ62" s="1"/>
      <c r="PR62" s="1"/>
      <c r="PS62" s="1"/>
      <c r="PV62" s="1"/>
      <c r="PW62" s="1"/>
      <c r="PX62" s="1"/>
      <c r="PY62" s="1"/>
      <c r="PZ62" s="1"/>
      <c r="QA62" s="1"/>
      <c r="QD62" s="1"/>
      <c r="QE62" s="1"/>
      <c r="QF62" s="1"/>
      <c r="QG62" s="1"/>
      <c r="QH62" s="1"/>
      <c r="QI62" s="1"/>
      <c r="QL62" s="1"/>
      <c r="QM62" s="1"/>
      <c r="QN62" s="1"/>
      <c r="QO62" s="1"/>
      <c r="QP62" s="1"/>
      <c r="QQ62" s="1"/>
      <c r="QT62" s="1"/>
      <c r="QU62" s="1"/>
      <c r="QV62" s="1"/>
      <c r="QW62" s="1"/>
      <c r="QX62" s="1"/>
      <c r="QY62" s="1"/>
      <c r="RB62" s="1"/>
      <c r="RC62" s="1"/>
      <c r="RD62" s="1"/>
      <c r="RE62" s="1"/>
      <c r="RF62" s="1"/>
      <c r="RG62" s="1"/>
      <c r="RJ62" s="1"/>
      <c r="RK62" s="1"/>
      <c r="RL62" s="1"/>
      <c r="RM62" s="1"/>
      <c r="RN62" s="1"/>
      <c r="RO62" s="1"/>
      <c r="RR62" s="1"/>
      <c r="RS62" s="1"/>
      <c r="RT62" s="1"/>
      <c r="RU62" s="1"/>
      <c r="RV62" s="1"/>
      <c r="RW62" s="1"/>
      <c r="RZ62" s="1"/>
      <c r="SA62" s="1"/>
      <c r="SB62" s="1"/>
      <c r="SC62" s="1"/>
      <c r="SD62" s="1"/>
      <c r="SE62" s="1"/>
      <c r="SH62" s="1"/>
      <c r="SI62" s="1"/>
      <c r="SJ62" s="1"/>
      <c r="SK62" s="1"/>
      <c r="SL62" s="1"/>
      <c r="SM62" s="1"/>
      <c r="SP62" s="1"/>
      <c r="SQ62" s="1"/>
      <c r="SR62" s="1"/>
      <c r="SS62" s="1"/>
      <c r="ST62" s="1"/>
      <c r="SU62" s="1"/>
      <c r="SX62" s="1"/>
      <c r="SY62" s="1"/>
      <c r="SZ62" s="1"/>
      <c r="TA62" s="1"/>
      <c r="TB62" s="1"/>
      <c r="TC62" s="1"/>
      <c r="TF62" s="1"/>
      <c r="TG62" s="1"/>
      <c r="TH62" s="1"/>
      <c r="TI62" s="1"/>
      <c r="TJ62" s="1"/>
      <c r="TK62" s="1"/>
      <c r="TN62" s="1"/>
      <c r="TO62" s="1"/>
      <c r="TP62" s="1"/>
      <c r="TQ62" s="1"/>
      <c r="TR62" s="1"/>
      <c r="TS62" s="1"/>
      <c r="TV62" s="1"/>
      <c r="TW62" s="1"/>
      <c r="TX62" s="1"/>
      <c r="TY62" s="1"/>
      <c r="TZ62" s="1"/>
      <c r="UA62" s="1"/>
      <c r="UD62" s="1"/>
      <c r="UE62" s="1"/>
      <c r="UF62" s="1"/>
      <c r="UG62" s="1"/>
      <c r="UH62" s="1"/>
      <c r="UI62" s="1"/>
      <c r="UL62" s="1"/>
      <c r="UM62" s="1"/>
      <c r="UN62" s="1"/>
      <c r="UO62" s="1"/>
      <c r="UP62" s="1"/>
      <c r="UQ62" s="1"/>
      <c r="UR62" s="1"/>
      <c r="UU62" s="1"/>
      <c r="UV62" s="1"/>
      <c r="UW62" s="1"/>
      <c r="UX62" s="1"/>
      <c r="UY62" s="1"/>
      <c r="UZ62" s="1"/>
      <c r="VC62" s="1"/>
      <c r="VD62" s="1"/>
      <c r="VE62" s="1"/>
      <c r="VF62" s="1"/>
      <c r="VG62" s="1"/>
      <c r="VH62" s="1"/>
      <c r="VK62" s="1"/>
      <c r="VL62" s="1"/>
      <c r="VM62" s="1"/>
      <c r="VN62" s="1"/>
      <c r="VO62" s="1"/>
      <c r="VP62" s="1"/>
      <c r="VS62" s="1"/>
      <c r="VT62" s="1"/>
      <c r="VU62" s="1"/>
      <c r="VV62" s="1"/>
      <c r="VW62" s="1"/>
      <c r="VX62" s="1"/>
      <c r="WA62" s="58"/>
      <c r="WB62" s="58"/>
      <c r="WC62" s="58"/>
      <c r="WD62" s="58"/>
      <c r="WE62" s="58"/>
      <c r="WF62" s="58"/>
      <c r="WG62" s="169"/>
      <c r="WH62" s="169"/>
      <c r="WI62" s="1"/>
      <c r="WJ62" s="1"/>
      <c r="WK62" s="1"/>
      <c r="WL62" s="1"/>
      <c r="WM62" s="1"/>
      <c r="WN62" s="1"/>
      <c r="WQ62" s="1"/>
      <c r="WR62" s="1"/>
      <c r="WS62" s="1"/>
      <c r="WT62" s="1"/>
      <c r="WU62" s="1"/>
      <c r="WV62" s="1"/>
      <c r="WW62" s="1"/>
      <c r="WZ62" s="1"/>
      <c r="XA62" s="1"/>
      <c r="XB62" s="1"/>
      <c r="XC62" s="1"/>
      <c r="XD62" s="1"/>
      <c r="XE62" s="1"/>
      <c r="XF62" s="1"/>
      <c r="XI62" s="1"/>
      <c r="XJ62" s="1"/>
      <c r="XK62" s="1"/>
      <c r="XL62" s="1"/>
      <c r="XM62" s="1"/>
      <c r="XN62" s="1"/>
      <c r="XO62" s="1"/>
      <c r="XR62" s="1"/>
      <c r="XS62" s="1"/>
      <c r="XT62" s="1"/>
      <c r="XU62" s="1"/>
      <c r="XV62" s="1"/>
      <c r="XW62" s="1"/>
      <c r="XX62" s="1"/>
      <c r="YA62" s="1"/>
      <c r="YB62" s="1"/>
      <c r="YC62" s="1"/>
      <c r="YD62" s="1"/>
      <c r="YE62" s="1"/>
      <c r="YF62" s="1"/>
      <c r="YG62" s="1"/>
      <c r="YJ62" s="1"/>
      <c r="YK62" s="1"/>
      <c r="YL62" s="1"/>
      <c r="YM62" s="1"/>
      <c r="YN62" s="1"/>
      <c r="YO62" s="1"/>
      <c r="YP62" s="1"/>
      <c r="YS62" s="1"/>
      <c r="YT62" s="1"/>
      <c r="YU62" s="1"/>
      <c r="YV62" s="1"/>
      <c r="YW62" s="1"/>
      <c r="YX62" s="1"/>
      <c r="ZA62" s="1"/>
      <c r="ZB62" s="1"/>
      <c r="ZC62" s="1"/>
      <c r="ZD62" s="1"/>
      <c r="ZE62" s="1"/>
      <c r="ZF62" s="1"/>
      <c r="ZI62" s="1"/>
      <c r="ZJ62" s="1"/>
      <c r="ZK62" s="1"/>
      <c r="ZL62" s="1"/>
      <c r="ZM62" s="1"/>
      <c r="ZN62" s="1"/>
      <c r="ZQ62" s="1"/>
      <c r="ZR62" s="1"/>
      <c r="ZS62" s="1"/>
      <c r="ZT62" s="1"/>
      <c r="ZU62" s="1"/>
      <c r="ZV62" s="1"/>
      <c r="ZW62" s="1"/>
      <c r="ZX62" s="186"/>
      <c r="ZY62" s="187"/>
      <c r="ZZ62" s="1"/>
      <c r="AAA62" s="1"/>
      <c r="AAB62" s="1"/>
      <c r="AAC62" s="1"/>
      <c r="AAD62" s="1"/>
      <c r="AAE62" s="1"/>
      <c r="AAF62" s="1"/>
      <c r="AAI62" s="1"/>
      <c r="AAJ62" s="1"/>
      <c r="AAK62" s="1"/>
      <c r="AAL62" s="1"/>
      <c r="AAM62" s="1"/>
      <c r="AAN62" s="1"/>
      <c r="AAQ62" s="1"/>
      <c r="AAR62" s="1"/>
      <c r="AAS62" s="1"/>
      <c r="AAT62" s="1"/>
      <c r="AAU62" s="1"/>
      <c r="AAV62" s="1"/>
      <c r="AAY62" s="1"/>
      <c r="AAZ62" s="1"/>
      <c r="ABA62" s="1"/>
      <c r="ABB62" s="1"/>
      <c r="ABC62" s="1"/>
      <c r="ABD62" s="1"/>
      <c r="ABG62" s="1"/>
      <c r="ABH62" s="1"/>
      <c r="ABI62" s="1"/>
      <c r="ABJ62" s="1"/>
      <c r="ABK62" s="1"/>
      <c r="ABL62" s="1"/>
      <c r="ABO62" s="1"/>
      <c r="ABP62" s="1"/>
      <c r="ABQ62" s="1"/>
      <c r="ABR62" s="1"/>
      <c r="ABS62" s="1"/>
      <c r="ABT62" s="1"/>
      <c r="ABW62" s="1"/>
      <c r="ABX62" s="1"/>
      <c r="ABY62" s="1"/>
      <c r="ABZ62" s="1"/>
      <c r="ACA62" s="1"/>
      <c r="ACB62" s="1"/>
      <c r="ACE62" s="1"/>
      <c r="ACF62" s="1"/>
      <c r="ACG62" s="1"/>
      <c r="ACH62" s="1"/>
      <c r="ACI62" s="1"/>
      <c r="ACJ62" s="1"/>
      <c r="ACM62" s="1"/>
      <c r="ACN62" s="1"/>
      <c r="ACO62" s="1"/>
      <c r="ACP62" s="1"/>
      <c r="ACQ62" s="1"/>
      <c r="ACR62" s="1"/>
      <c r="ACU62" s="1"/>
      <c r="ACV62" s="1"/>
      <c r="ACW62" s="1"/>
      <c r="ACX62" s="1"/>
      <c r="ACY62" s="1"/>
      <c r="ACZ62" s="1"/>
      <c r="ADC62" s="1"/>
      <c r="ADD62" s="1"/>
      <c r="ADE62" s="1"/>
      <c r="ADF62" s="1"/>
      <c r="ADG62" s="1"/>
      <c r="ADH62" s="1"/>
      <c r="ADK62" s="1"/>
      <c r="ADL62" s="1"/>
      <c r="ADM62" s="1"/>
      <c r="ADN62" s="1"/>
      <c r="ADO62" s="1"/>
      <c r="ADP62" s="1"/>
      <c r="ADS62" s="1"/>
      <c r="ADT62" s="1"/>
      <c r="ADU62" s="1"/>
      <c r="ADV62" s="1"/>
      <c r="ADW62" s="1"/>
      <c r="ADX62" s="1"/>
      <c r="AEA62" s="1"/>
      <c r="AEB62" s="1"/>
      <c r="AEC62" s="1"/>
      <c r="AED62" s="1"/>
      <c r="AEE62" s="1"/>
      <c r="AEF62" s="1"/>
      <c r="AEI62" s="1"/>
      <c r="AEJ62" s="1"/>
      <c r="AEK62" s="1"/>
      <c r="AEL62" s="1"/>
      <c r="AEM62" s="1"/>
      <c r="AEN62" s="1"/>
      <c r="AEQ62" s="1"/>
      <c r="AER62" s="1"/>
      <c r="AES62" s="1"/>
      <c r="AET62" s="1"/>
      <c r="AEU62" s="1"/>
      <c r="AEV62" s="1"/>
      <c r="AEY62" s="1"/>
      <c r="AEZ62" s="1"/>
      <c r="AFA62" s="1"/>
      <c r="AFB62" s="1"/>
      <c r="AFC62" s="1"/>
      <c r="AFD62" s="1"/>
      <c r="AFG62" s="1"/>
      <c r="AFH62" s="1"/>
      <c r="AFI62" s="1"/>
      <c r="AFJ62" s="1"/>
      <c r="AFK62" s="1"/>
      <c r="AFL62" s="1"/>
      <c r="AFO62" s="1"/>
      <c r="AFP62" s="1"/>
      <c r="AFQ62" s="1"/>
      <c r="AFR62" s="1"/>
      <c r="AFS62" s="1"/>
      <c r="AFT62" s="1"/>
      <c r="AFW62" s="1"/>
      <c r="AFX62" s="1"/>
      <c r="AFY62" s="1"/>
      <c r="AFZ62" s="1"/>
      <c r="AGA62" s="1"/>
      <c r="AGB62" s="1"/>
      <c r="AGE62" s="1"/>
      <c r="AGF62" s="1"/>
      <c r="AGG62" s="1"/>
      <c r="AGH62" s="1"/>
      <c r="AGI62" s="1"/>
      <c r="AGJ62" s="1"/>
      <c r="AGM62" s="1"/>
      <c r="AGN62" s="1"/>
      <c r="AGO62" s="1"/>
      <c r="AGP62" s="1"/>
      <c r="AGQ62" s="1"/>
      <c r="AGR62" s="1"/>
      <c r="AGS62" s="1"/>
      <c r="AGV62" s="1"/>
      <c r="AGW62" s="1"/>
      <c r="AGX62" s="1"/>
      <c r="AGY62" s="1"/>
      <c r="AGZ62" s="1"/>
      <c r="AHA62" s="1"/>
      <c r="AHD62" s="1"/>
      <c r="AHE62" s="1"/>
      <c r="AHF62" s="1"/>
      <c r="AHG62" s="1"/>
      <c r="AHH62" s="1"/>
      <c r="AHI62" s="1"/>
      <c r="AHL62" s="1"/>
      <c r="AHM62" s="1"/>
      <c r="AHN62" s="1"/>
      <c r="AHO62" s="1"/>
      <c r="AHP62" s="1"/>
      <c r="AHQ62" s="1"/>
      <c r="AHT62" s="1"/>
      <c r="AHU62" s="1"/>
      <c r="AHV62" s="1"/>
      <c r="AHW62" s="1"/>
      <c r="AHX62" s="1"/>
      <c r="AHY62" s="1"/>
      <c r="AIB62" s="1"/>
      <c r="AIC62" s="1"/>
      <c r="AID62" s="1"/>
      <c r="AIE62" s="1"/>
      <c r="AIF62" s="1"/>
      <c r="AIG62" s="1"/>
      <c r="AIJ62" s="1"/>
      <c r="AIK62" s="1"/>
      <c r="AIL62" s="1"/>
      <c r="AIM62" s="1"/>
      <c r="AIN62" s="1"/>
      <c r="AIO62" s="1"/>
      <c r="AIR62" s="1"/>
      <c r="AIS62" s="1"/>
      <c r="AIT62" s="1"/>
      <c r="AIU62" s="1"/>
      <c r="AIV62" s="1"/>
      <c r="AIW62" s="1"/>
      <c r="AIZ62" s="1"/>
      <c r="AJA62" s="1"/>
      <c r="AJB62" s="1"/>
      <c r="AJC62" s="1"/>
      <c r="AJD62" s="1"/>
      <c r="AJE62" s="1"/>
      <c r="AJH62" s="1"/>
      <c r="AJI62" s="1"/>
      <c r="AJJ62" s="1"/>
      <c r="AJK62" s="1"/>
      <c r="AJL62" s="1"/>
      <c r="AJM62" s="1"/>
      <c r="AJP62" s="1"/>
      <c r="AJQ62" s="1"/>
      <c r="AJR62" s="1"/>
      <c r="AJS62" s="1"/>
      <c r="AJT62" s="1"/>
      <c r="AJU62" s="1"/>
      <c r="AJX62" s="1"/>
      <c r="AJY62" s="1"/>
      <c r="AJZ62" s="1"/>
      <c r="AKA62" s="1"/>
      <c r="AKB62" s="1"/>
      <c r="AKC62" s="1"/>
      <c r="AKF62" s="1"/>
      <c r="AKG62" s="1"/>
      <c r="AKH62" s="1"/>
      <c r="AKI62" s="1"/>
      <c r="AKJ62" s="1"/>
      <c r="AKK62" s="1"/>
      <c r="AKN62" s="1"/>
      <c r="AKO62" s="1"/>
      <c r="AKP62" s="1"/>
      <c r="AKQ62" s="1"/>
      <c r="AKR62" s="1"/>
      <c r="AKS62" s="1"/>
      <c r="AKV62" s="1"/>
      <c r="AKW62" s="1"/>
      <c r="AKX62" s="1"/>
      <c r="AKY62" s="1"/>
      <c r="AKZ62" s="1"/>
      <c r="ALA62" s="1"/>
      <c r="ALD62" s="1"/>
      <c r="ALE62" s="1"/>
      <c r="ALF62" s="1"/>
      <c r="ALG62" s="1"/>
      <c r="ALH62" s="1"/>
      <c r="ALI62" s="1"/>
      <c r="ALL62" s="1"/>
      <c r="ALM62" s="1"/>
      <c r="ALN62" s="1"/>
      <c r="ALO62" s="1"/>
      <c r="ALP62" s="1"/>
      <c r="ALQ62" s="1"/>
      <c r="ALT62" s="1"/>
      <c r="ALU62" s="1"/>
      <c r="ALV62" s="1"/>
      <c r="ALW62" s="1"/>
      <c r="ALX62" s="1"/>
      <c r="ALY62" s="1"/>
      <c r="AMB62" s="1"/>
      <c r="AMC62" s="1"/>
      <c r="AMD62" s="1"/>
      <c r="AME62" s="1"/>
      <c r="AMF62" s="1"/>
      <c r="AMG62" s="1"/>
      <c r="AMJ62" s="1"/>
      <c r="AMK62" s="1"/>
      <c r="AML62" s="1"/>
      <c r="AMM62" s="1"/>
      <c r="AMN62" s="1"/>
      <c r="AMO62" s="1"/>
      <c r="AMR62" s="1"/>
      <c r="AMS62" s="1"/>
      <c r="AMT62" s="1"/>
      <c r="AMU62" s="1"/>
      <c r="AMV62" s="1"/>
      <c r="AMW62" s="1"/>
      <c r="AMZ62" s="1"/>
      <c r="ANA62" s="1"/>
      <c r="ANB62" s="1"/>
      <c r="ANC62" s="1"/>
      <c r="AND62" s="1"/>
      <c r="ANE62" s="1"/>
      <c r="ANH62" s="1"/>
      <c r="ANI62" s="1"/>
      <c r="ANJ62" s="1"/>
      <c r="ANK62" s="1"/>
      <c r="ANL62" s="1"/>
      <c r="ANM62" s="1"/>
      <c r="ANP62" s="1"/>
      <c r="ANQ62" s="1"/>
      <c r="ANR62" s="1"/>
      <c r="ANS62" s="1"/>
      <c r="ANT62" s="1"/>
      <c r="ANU62" s="1"/>
      <c r="ANX62" s="77"/>
      <c r="ANY62" s="77"/>
      <c r="ANZ62" s="77"/>
      <c r="AOA62" s="77"/>
      <c r="AOB62" s="77"/>
      <c r="AOC62" s="77"/>
      <c r="AOF62" s="1"/>
      <c r="AOG62" s="1"/>
      <c r="AOH62" s="1"/>
      <c r="AOI62" s="1"/>
      <c r="AOJ62" s="1"/>
      <c r="AOK62" s="1"/>
      <c r="AON62" s="1"/>
      <c r="AOO62" s="1"/>
      <c r="AOP62" s="1"/>
      <c r="AOQ62" s="1"/>
      <c r="AOR62" s="1"/>
      <c r="AOS62" s="1"/>
      <c r="AOV62" s="1"/>
      <c r="AOW62" s="1"/>
      <c r="AOX62" s="1"/>
      <c r="AOY62" s="1"/>
      <c r="AOZ62" s="1"/>
      <c r="APA62" s="1"/>
      <c r="APD62" s="1"/>
      <c r="APE62" s="1"/>
      <c r="APF62" s="1"/>
      <c r="APG62" s="1"/>
      <c r="APH62" s="1"/>
      <c r="API62" s="1"/>
      <c r="APL62" s="1"/>
      <c r="APM62" s="1"/>
      <c r="APN62" s="1"/>
      <c r="APO62" s="1"/>
      <c r="APP62" s="1"/>
      <c r="APQ62" s="1"/>
      <c r="APT62" s="1"/>
      <c r="APU62" s="1"/>
      <c r="APV62" s="1"/>
      <c r="APW62" s="1"/>
      <c r="APX62" s="1"/>
      <c r="APY62" s="1"/>
      <c r="AQB62" s="1"/>
      <c r="AQC62" s="1"/>
      <c r="AQD62" s="1"/>
      <c r="AQE62" s="1"/>
      <c r="AQF62" s="1"/>
      <c r="AQG62" s="1"/>
      <c r="AQJ62" s="1"/>
      <c r="AQK62" s="1"/>
      <c r="AQL62" s="1"/>
      <c r="AQM62" s="1"/>
      <c r="AQN62" s="1"/>
      <c r="AQO62" s="1"/>
      <c r="AQR62" s="1"/>
      <c r="AQS62" s="1"/>
      <c r="AQT62" s="1"/>
      <c r="AQU62" s="1"/>
      <c r="AQV62" s="1"/>
      <c r="AQW62" s="1"/>
      <c r="AQZ62" s="1"/>
      <c r="ARA62" s="1"/>
      <c r="ARB62" s="1"/>
      <c r="ARC62" s="1"/>
      <c r="ARD62" s="1"/>
      <c r="ARE62" s="1"/>
      <c r="ARH62" s="1"/>
      <c r="ARI62" s="1"/>
      <c r="ARJ62" s="1"/>
      <c r="ARK62" s="1"/>
      <c r="ARL62" s="1"/>
      <c r="ARM62" s="1"/>
      <c r="ARP62" s="1"/>
      <c r="ARQ62" s="1"/>
      <c r="ARR62" s="1"/>
      <c r="ARS62" s="1"/>
      <c r="ART62" s="1"/>
      <c r="ARU62" s="1"/>
      <c r="ARX62" s="1"/>
      <c r="ARY62" s="1"/>
      <c r="ARZ62" s="1"/>
      <c r="ASA62" s="1"/>
      <c r="ASB62" s="1"/>
      <c r="ASC62" s="1"/>
      <c r="ASF62" s="1"/>
      <c r="ASG62" s="1"/>
      <c r="ASH62" s="1"/>
      <c r="ASI62" s="1"/>
      <c r="ASJ62" s="1"/>
      <c r="ASK62" s="1"/>
      <c r="ASN62" s="1"/>
      <c r="ASO62" s="1"/>
      <c r="ASP62" s="1"/>
      <c r="ASQ62" s="1"/>
      <c r="ASR62" s="1"/>
      <c r="ASS62" s="1"/>
      <c r="ASV62" s="1"/>
      <c r="ASW62" s="1"/>
      <c r="ASX62" s="1"/>
      <c r="ASY62" s="1"/>
      <c r="ASZ62" s="1"/>
      <c r="ATA62" s="1"/>
      <c r="ATD62" s="1"/>
      <c r="ATE62" s="1"/>
      <c r="ATF62" s="1"/>
      <c r="ATG62" s="1"/>
      <c r="ATH62" s="1"/>
      <c r="ATI62" s="1"/>
      <c r="ATL62" s="1"/>
      <c r="ATM62" s="1"/>
      <c r="ATN62" s="1"/>
      <c r="ATO62" s="1"/>
      <c r="ATP62" s="1"/>
      <c r="ATQ62" s="1"/>
      <c r="ATT62" s="1"/>
      <c r="ATU62" s="1"/>
      <c r="ATV62" s="1"/>
      <c r="ATW62" s="1"/>
      <c r="ATX62" s="1"/>
      <c r="ATY62" s="1"/>
      <c r="AUB62" s="1"/>
      <c r="AUC62" s="1"/>
      <c r="AUD62" s="1"/>
      <c r="AUE62" s="1"/>
      <c r="AUF62" s="1"/>
      <c r="AUG62" s="1"/>
      <c r="AUJ62" s="1"/>
      <c r="AUK62" s="1"/>
      <c r="AUL62" s="1"/>
      <c r="AUM62" s="1"/>
      <c r="AUN62" s="1"/>
      <c r="AUO62" s="1"/>
      <c r="AUR62" s="1"/>
      <c r="AUS62" s="1"/>
      <c r="AUT62" s="1"/>
      <c r="AUU62" s="1"/>
      <c r="AUV62" s="1"/>
      <c r="AUW62" s="1"/>
      <c r="AUZ62" s="1"/>
      <c r="AVA62" s="1"/>
      <c r="AVB62" s="1"/>
      <c r="AVC62" s="1"/>
      <c r="AVD62" s="1"/>
      <c r="AVE62" s="1"/>
      <c r="AVH62" s="1"/>
      <c r="AVI62" s="1"/>
      <c r="AVJ62" s="1"/>
      <c r="AVK62" s="1"/>
      <c r="AVL62" s="1"/>
      <c r="AVM62" s="1"/>
      <c r="AVP62" s="1"/>
      <c r="AVQ62" s="1"/>
      <c r="AVR62" s="1"/>
      <c r="AVS62" s="1"/>
      <c r="AVT62" s="1"/>
      <c r="AVU62" s="1"/>
      <c r="AVX62" s="1"/>
      <c r="AVY62" s="1"/>
      <c r="AVZ62" s="1"/>
      <c r="AWA62" s="1"/>
      <c r="AWB62" s="1"/>
      <c r="AWC62" s="1"/>
      <c r="AWF62" s="1"/>
      <c r="AWG62" s="1"/>
      <c r="AWH62" s="1"/>
      <c r="AWI62" s="1"/>
      <c r="AWJ62" s="1"/>
      <c r="AWK62" s="1"/>
      <c r="AWN62" s="50"/>
      <c r="AWO62" s="51"/>
      <c r="AWP62" s="51"/>
      <c r="AWQ62" s="51"/>
      <c r="AWR62" s="51"/>
      <c r="AWS62" s="51"/>
      <c r="AWT62" s="52">
        <f t="shared" si="2215"/>
        <v>0</v>
      </c>
      <c r="AWU62" s="53">
        <f t="shared" si="2216"/>
        <v>0</v>
      </c>
      <c r="AWV62" s="50"/>
      <c r="AWW62" s="51"/>
      <c r="AWX62" s="51"/>
      <c r="AWY62" s="51"/>
      <c r="AWZ62" s="51"/>
      <c r="AXA62" s="51"/>
      <c r="AXB62" s="52">
        <f t="shared" si="2217"/>
        <v>0</v>
      </c>
      <c r="AXC62" s="53">
        <f t="shared" si="2218"/>
        <v>0</v>
      </c>
      <c r="AXD62" s="1"/>
      <c r="AXE62" s="1"/>
      <c r="AXF62" s="1"/>
      <c r="AXG62" s="1"/>
      <c r="AXH62" s="1"/>
      <c r="AXI62" s="1"/>
      <c r="AXL62" s="1"/>
      <c r="AXM62" s="1"/>
      <c r="AXN62" s="1"/>
      <c r="AXO62" s="1"/>
      <c r="AXP62" s="1"/>
      <c r="AXQ62" s="1"/>
      <c r="AXT62" s="1"/>
      <c r="AXU62" s="1"/>
      <c r="AXV62" s="1"/>
      <c r="AXW62" s="1"/>
      <c r="AXX62" s="1"/>
      <c r="AXY62" s="1"/>
      <c r="AYB62" s="1"/>
      <c r="AYC62" s="1"/>
      <c r="AYD62" s="1"/>
      <c r="AYE62" s="1"/>
      <c r="AYF62" s="1"/>
      <c r="AYG62" s="1"/>
      <c r="AYJ62" s="1"/>
      <c r="AYK62" s="1"/>
      <c r="AYL62" s="1"/>
      <c r="AYM62" s="1"/>
      <c r="AYN62" s="1"/>
      <c r="AYO62" s="1"/>
      <c r="AYR62" s="1"/>
      <c r="AYS62" s="1"/>
      <c r="AYT62" s="1"/>
      <c r="AYU62" s="1"/>
      <c r="AYV62" s="1"/>
      <c r="AYW62" s="1"/>
      <c r="AYZ62" s="1"/>
      <c r="AZA62" s="1"/>
      <c r="AZB62" s="1"/>
      <c r="AZC62" s="1"/>
      <c r="AZD62" s="1"/>
      <c r="AZE62" s="1"/>
      <c r="AZH62" s="1"/>
      <c r="AZI62" s="1"/>
      <c r="AZJ62" s="1"/>
      <c r="AZK62" s="1"/>
      <c r="AZL62" s="1"/>
      <c r="AZM62" s="1"/>
      <c r="AZP62" s="1"/>
      <c r="AZQ62" s="1"/>
      <c r="AZR62" s="1"/>
      <c r="AZS62" s="1"/>
      <c r="AZT62" s="1"/>
      <c r="AZU62" s="1"/>
      <c r="AZX62" s="77"/>
      <c r="AZY62" s="77"/>
      <c r="AZZ62" s="77"/>
      <c r="BAA62" s="77"/>
      <c r="BAB62" s="77"/>
      <c r="BAC62" s="77"/>
      <c r="BAF62" s="1"/>
      <c r="BAG62" s="1"/>
      <c r="BAH62" s="1"/>
      <c r="BAI62" s="1"/>
      <c r="BAJ62" s="1"/>
      <c r="BAK62" s="1"/>
      <c r="BAN62" s="1"/>
      <c r="BAO62" s="1"/>
      <c r="BAP62" s="1"/>
      <c r="BAQ62" s="1"/>
      <c r="BAR62" s="1"/>
      <c r="BAS62" s="1"/>
      <c r="BAV62" s="1"/>
      <c r="BAW62" s="1"/>
      <c r="BAX62" s="1"/>
      <c r="BAY62" s="1"/>
      <c r="BAZ62" s="1"/>
      <c r="BBA62" s="1"/>
      <c r="BBD62" s="1"/>
      <c r="BBE62" s="1"/>
      <c r="BBF62" s="1"/>
      <c r="BBG62" s="1"/>
      <c r="BBH62" s="1"/>
      <c r="BBI62" s="1"/>
      <c r="BBL62" s="1"/>
      <c r="BBM62" s="1"/>
      <c r="BBN62" s="1"/>
      <c r="BBO62" s="1"/>
      <c r="BBP62" s="1"/>
      <c r="BBQ62" s="1"/>
      <c r="BBT62" s="1"/>
      <c r="BBU62" s="1"/>
      <c r="BBV62" s="1"/>
      <c r="BBW62" s="1"/>
      <c r="BBX62" s="1"/>
      <c r="BBY62" s="1"/>
      <c r="BCB62" s="1"/>
      <c r="BCC62" s="1"/>
      <c r="BCD62" s="1"/>
      <c r="BCE62" s="1"/>
      <c r="BCF62" s="1"/>
      <c r="BCG62" s="1"/>
      <c r="BCJ62" s="1"/>
      <c r="BCK62" s="1"/>
      <c r="BCL62" s="1"/>
      <c r="BCM62" s="1"/>
      <c r="BCN62" s="1"/>
      <c r="BCO62" s="1"/>
      <c r="BCR62" s="1"/>
      <c r="BCS62" s="1"/>
      <c r="BCT62" s="1"/>
      <c r="BCU62" s="1"/>
      <c r="BCV62" s="1"/>
      <c r="BCW62" s="1"/>
      <c r="BCZ62" s="1"/>
      <c r="BDA62" s="1"/>
      <c r="BDB62" s="1"/>
      <c r="BDC62" s="1"/>
      <c r="BDD62" s="1"/>
      <c r="BDE62" s="1"/>
      <c r="BDH62" s="1"/>
      <c r="BDI62" s="1"/>
      <c r="BDJ62" s="1"/>
      <c r="BDK62" s="1"/>
      <c r="BDL62" s="1"/>
      <c r="BDM62" s="1"/>
      <c r="BDP62" s="1"/>
      <c r="BDQ62" s="1"/>
      <c r="BDR62" s="1"/>
      <c r="BDS62" s="1"/>
      <c r="BDT62" s="1"/>
      <c r="BDU62" s="1"/>
      <c r="BDX62" s="1"/>
      <c r="BDY62" s="1"/>
      <c r="BDZ62" s="1"/>
      <c r="BEA62" s="1"/>
      <c r="BEB62" s="1"/>
      <c r="BEC62" s="1"/>
      <c r="BEF62" s="1"/>
      <c r="BEG62" s="1"/>
      <c r="BEH62" s="1"/>
      <c r="BEI62" s="1"/>
      <c r="BEJ62" s="1"/>
      <c r="BEK62" s="1"/>
      <c r="BEN62" s="1"/>
      <c r="BEO62" s="1"/>
      <c r="BEP62" s="1"/>
      <c r="BEQ62" s="1"/>
      <c r="BER62" s="1"/>
      <c r="BES62" s="1"/>
      <c r="BEV62" s="77"/>
      <c r="BEW62" s="77"/>
      <c r="BEX62" s="77"/>
      <c r="BEY62" s="77"/>
      <c r="BEZ62" s="77"/>
      <c r="BFA62" s="77"/>
      <c r="BFD62" s="1"/>
      <c r="BFE62" s="1"/>
      <c r="BFF62" s="1"/>
      <c r="BFG62" s="1"/>
      <c r="BFH62" s="1"/>
      <c r="BFI62" s="1"/>
      <c r="BFL62" s="1"/>
      <c r="BFM62" s="1"/>
      <c r="BFN62" s="1"/>
      <c r="BFO62" s="1"/>
      <c r="BFP62" s="1"/>
      <c r="BFQ62" s="1"/>
      <c r="BFT62" s="1"/>
      <c r="BFU62" s="1"/>
      <c r="BFV62" s="1"/>
      <c r="BFW62" s="1"/>
      <c r="BFX62" s="1"/>
      <c r="BFY62" s="1"/>
      <c r="BGB62" s="1"/>
      <c r="BGC62" s="1"/>
      <c r="BGD62" s="1"/>
      <c r="BGE62" s="1"/>
      <c r="BGF62" s="1"/>
      <c r="BGG62" s="1"/>
      <c r="BGJ62" s="1"/>
      <c r="BGK62" s="1"/>
      <c r="BGL62" s="1"/>
      <c r="BGM62" s="1"/>
      <c r="BGN62" s="1"/>
      <c r="BGO62" s="1"/>
      <c r="BGR62" s="1"/>
      <c r="BGS62" s="1"/>
      <c r="BGT62" s="1"/>
      <c r="BGU62" s="1"/>
      <c r="BGV62" s="1"/>
      <c r="BGW62" s="1"/>
      <c r="BGZ62" s="1"/>
      <c r="BHA62" s="1"/>
      <c r="BHB62" s="1"/>
      <c r="BHC62" s="1"/>
      <c r="BHD62" s="1"/>
      <c r="BHE62" s="1"/>
      <c r="BHH62" s="1"/>
      <c r="BHI62" s="1"/>
      <c r="BHJ62" s="1"/>
      <c r="BHK62" s="1"/>
      <c r="BHL62" s="1"/>
      <c r="BHM62" s="1"/>
      <c r="BHP62" s="1"/>
      <c r="BHQ62" s="1"/>
      <c r="BHR62" s="1"/>
      <c r="BHS62" s="1"/>
      <c r="BHT62" s="1"/>
      <c r="BHU62" s="1"/>
      <c r="BHX62" s="1"/>
      <c r="BHY62" s="1"/>
      <c r="BHZ62" s="1"/>
      <c r="BIA62" s="1"/>
      <c r="BIB62" s="1"/>
      <c r="BIC62" s="1"/>
      <c r="BIF62" s="1"/>
      <c r="BIG62" s="1"/>
      <c r="BIH62" s="1"/>
      <c r="BII62" s="1"/>
      <c r="BIJ62" s="1"/>
      <c r="BIK62" s="1"/>
      <c r="BIN62" s="1"/>
      <c r="BIO62" s="1"/>
      <c r="BIP62" s="1"/>
      <c r="BIQ62" s="1"/>
      <c r="BIR62" s="1"/>
      <c r="BIS62" s="1"/>
      <c r="BIV62" s="1"/>
      <c r="BIW62" s="1"/>
      <c r="BIX62" s="1"/>
      <c r="BIY62" s="1"/>
      <c r="BIZ62" s="1"/>
      <c r="BJA62" s="1"/>
      <c r="BJD62" s="1"/>
      <c r="BJE62" s="1"/>
      <c r="BJF62" s="1"/>
      <c r="BJG62" s="1"/>
      <c r="BJH62" s="1"/>
      <c r="BJI62" s="1"/>
      <c r="BJL62" s="1"/>
      <c r="BJM62" s="1"/>
      <c r="BJN62" s="1"/>
      <c r="BJO62" s="1"/>
      <c r="BJP62" s="1"/>
      <c r="BJQ62" s="1"/>
      <c r="BJT62" s="1"/>
      <c r="BJU62" s="1"/>
      <c r="BJV62" s="1"/>
      <c r="BJW62" s="1"/>
      <c r="BJX62" s="1"/>
      <c r="BJY62" s="1"/>
      <c r="BKB62" s="1"/>
      <c r="BKC62" s="1"/>
      <c r="BKD62" s="1"/>
      <c r="BKE62" s="1"/>
      <c r="BKF62" s="1"/>
      <c r="BKG62" s="1"/>
      <c r="BKJ62" s="1"/>
      <c r="BKK62" s="1"/>
      <c r="BKL62" s="1"/>
      <c r="BKM62" s="1"/>
      <c r="BKN62" s="1"/>
      <c r="BKO62" s="1"/>
      <c r="BKR62" s="1"/>
      <c r="BKS62" s="1"/>
      <c r="BKT62" s="1"/>
      <c r="BKU62" s="1"/>
      <c r="BKV62" s="1"/>
      <c r="BKW62" s="1"/>
      <c r="BKZ62" s="1"/>
      <c r="BLA62" s="1"/>
      <c r="BLB62" s="1"/>
      <c r="BLC62" s="1"/>
      <c r="BLD62" s="1"/>
      <c r="BLE62" s="1"/>
      <c r="BLH62" s="1"/>
      <c r="BLI62" s="1"/>
      <c r="BLJ62" s="1"/>
      <c r="BLK62" s="1"/>
      <c r="BLL62" s="1"/>
      <c r="BLM62" s="1"/>
      <c r="BLP62" s="1"/>
      <c r="BLQ62" s="1"/>
      <c r="BLR62" s="1"/>
      <c r="BLS62" s="1"/>
      <c r="BLT62" s="1"/>
      <c r="BLU62" s="1"/>
      <c r="BND62" s="1"/>
      <c r="BNE62" s="1"/>
      <c r="BNF62" s="1"/>
      <c r="BNG62" s="1"/>
      <c r="BNH62" s="1"/>
      <c r="BNI62" s="1"/>
      <c r="BPH62" s="1"/>
      <c r="BPI62" s="1"/>
      <c r="BPJ62" s="1"/>
      <c r="BPK62" s="1"/>
      <c r="BPL62" s="1"/>
      <c r="BPM62" s="1"/>
      <c r="BPP62" s="1"/>
      <c r="BPQ62" s="1"/>
      <c r="BPR62" s="1"/>
      <c r="BPS62" s="1"/>
      <c r="BPT62" s="1"/>
      <c r="BPU62" s="1"/>
      <c r="BPX62" s="1"/>
      <c r="BPY62" s="1"/>
      <c r="BPZ62" s="1"/>
      <c r="BQA62" s="1"/>
      <c r="BQB62" s="1"/>
      <c r="BQC62" s="1"/>
      <c r="BQF62" s="1"/>
      <c r="BQG62" s="1"/>
      <c r="BQH62" s="1"/>
      <c r="BQI62" s="1"/>
      <c r="BQJ62" s="1"/>
      <c r="BQK62" s="1"/>
      <c r="BQN62" s="1"/>
      <c r="BQO62" s="1"/>
      <c r="BQP62" s="1"/>
      <c r="BQQ62" s="1"/>
      <c r="BQR62" s="1"/>
      <c r="BQS62" s="1"/>
      <c r="BQV62" s="1"/>
      <c r="BQW62" s="1"/>
      <c r="BQX62" s="1"/>
      <c r="BQY62" s="1"/>
      <c r="BQZ62" s="1"/>
      <c r="BRA62" s="1"/>
      <c r="BRD62" s="1"/>
      <c r="BRE62" s="1"/>
      <c r="BRF62" s="1"/>
      <c r="BRG62" s="1"/>
      <c r="BRH62" s="1"/>
      <c r="BRI62" s="1"/>
      <c r="BRL62" s="1"/>
      <c r="BRM62" s="1"/>
      <c r="BRN62" s="1"/>
      <c r="BRO62" s="1"/>
      <c r="BRP62" s="1"/>
      <c r="BRQ62" s="1"/>
      <c r="BRT62" s="1"/>
      <c r="BRU62" s="1"/>
      <c r="BRV62" s="1"/>
      <c r="BRW62" s="1"/>
      <c r="BRX62" s="1"/>
      <c r="BRY62" s="1"/>
      <c r="BSB62" s="1"/>
      <c r="BSC62" s="1"/>
      <c r="BSD62" s="1"/>
      <c r="BSE62" s="1"/>
      <c r="BSF62" s="1"/>
      <c r="BSG62" s="1"/>
      <c r="BSR62" s="1"/>
      <c r="BSS62" s="1"/>
      <c r="BST62" s="1"/>
      <c r="BSU62" s="1"/>
      <c r="BSV62" s="1"/>
      <c r="BSW62" s="1"/>
      <c r="BSZ62" s="1"/>
      <c r="BTA62" s="1"/>
      <c r="BTB62" s="1"/>
      <c r="BTC62" s="1"/>
      <c r="BTD62" s="1"/>
      <c r="BTE62" s="1"/>
      <c r="BTH62" s="1"/>
      <c r="BTI62" s="1"/>
      <c r="BTJ62" s="1"/>
      <c r="BTK62" s="1"/>
      <c r="BTL62" s="1"/>
      <c r="BTM62" s="1"/>
      <c r="BTP62" s="1"/>
      <c r="BTQ62" s="1"/>
      <c r="BTR62" s="1"/>
      <c r="BTS62" s="1"/>
      <c r="BTT62" s="1"/>
      <c r="BTU62" s="1"/>
      <c r="BTX62" s="1"/>
      <c r="BTY62" s="1"/>
      <c r="BTZ62" s="1"/>
      <c r="BUA62" s="1"/>
      <c r="BUB62" s="1"/>
      <c r="BUC62" s="1"/>
      <c r="BUF62" s="1"/>
      <c r="BUG62" s="1"/>
      <c r="BUH62" s="1"/>
      <c r="BUI62" s="1"/>
      <c r="BUJ62" s="1"/>
      <c r="BUK62" s="1"/>
      <c r="BUV62" s="1"/>
      <c r="BUW62" s="1"/>
      <c r="BUX62" s="1"/>
      <c r="BUY62" s="1"/>
      <c r="BUZ62" s="1"/>
      <c r="BVA62" s="1"/>
      <c r="BVD62" s="1"/>
      <c r="BVE62" s="1"/>
      <c r="BVF62" s="1"/>
      <c r="BVG62" s="1"/>
      <c r="BVH62" s="1"/>
      <c r="BVI62" s="1"/>
      <c r="BVT62" s="1"/>
      <c r="BVU62" s="1"/>
      <c r="BVV62" s="1"/>
      <c r="BVW62" s="1"/>
      <c r="BVX62" s="1"/>
      <c r="BVY62" s="1"/>
      <c r="BWB62" s="1"/>
      <c r="BWC62" s="1"/>
      <c r="BWD62" s="1"/>
      <c r="BWE62" s="1"/>
      <c r="BWF62" s="1"/>
      <c r="BWG62" s="1"/>
      <c r="BWJ62" s="1"/>
      <c r="BWK62" s="1"/>
      <c r="BWL62" s="1"/>
      <c r="BWM62" s="1"/>
      <c r="BWN62" s="1"/>
      <c r="BWO62" s="1"/>
      <c r="BWR62" s="1"/>
      <c r="BWS62" s="1"/>
      <c r="BWT62" s="1"/>
      <c r="BWU62" s="1"/>
      <c r="BWV62" s="1"/>
      <c r="BWW62" s="1"/>
      <c r="BWZ62" s="1"/>
      <c r="BXA62" s="1"/>
      <c r="BXB62" s="1"/>
      <c r="BXC62" s="1"/>
      <c r="BXD62" s="1"/>
      <c r="BXE62" s="1"/>
      <c r="BXH62" s="1"/>
      <c r="BXI62" s="1"/>
      <c r="BXJ62" s="1"/>
      <c r="BXK62" s="1"/>
      <c r="BXL62" s="1"/>
      <c r="BXM62" s="1"/>
      <c r="BXP62" s="1"/>
      <c r="BXQ62" s="1"/>
      <c r="BXR62" s="1"/>
      <c r="BXS62" s="1"/>
      <c r="BXT62" s="1"/>
      <c r="BXU62" s="1"/>
      <c r="BXX62" s="1"/>
      <c r="BXY62" s="1"/>
      <c r="BXZ62" s="1"/>
      <c r="BYA62" s="1"/>
      <c r="BYB62" s="1"/>
      <c r="BYC62" s="1"/>
      <c r="BYF62" s="1"/>
      <c r="BYG62" s="1"/>
      <c r="BYH62" s="1"/>
      <c r="BYI62" s="1"/>
      <c r="BYJ62" s="1"/>
      <c r="BYK62" s="1"/>
      <c r="BYN62" s="1"/>
      <c r="BYO62" s="1"/>
      <c r="BYP62" s="1"/>
      <c r="BYQ62" s="1"/>
      <c r="BYR62" s="1"/>
      <c r="BYS62" s="1"/>
      <c r="BYV62" s="1"/>
      <c r="BYW62" s="1"/>
      <c r="BYX62" s="1"/>
      <c r="BYY62" s="1"/>
      <c r="BYZ62" s="1"/>
      <c r="BZA62" s="1"/>
      <c r="BZD62" s="1"/>
      <c r="BZE62" s="1"/>
      <c r="BZF62" s="1"/>
      <c r="BZG62" s="1"/>
      <c r="BZH62" s="1"/>
      <c r="BZI62" s="1"/>
      <c r="BZL62" s="1"/>
      <c r="BZM62" s="1"/>
      <c r="BZN62" s="1"/>
      <c r="BZO62" s="1"/>
      <c r="BZP62" s="1"/>
      <c r="BZQ62" s="1"/>
      <c r="BZT62" s="1"/>
      <c r="BZU62" s="1"/>
      <c r="BZV62" s="1"/>
      <c r="BZW62" s="1"/>
      <c r="BZX62" s="1"/>
      <c r="BZY62" s="1"/>
      <c r="CAB62" s="1"/>
      <c r="CAC62" s="1"/>
      <c r="CAD62" s="1"/>
      <c r="CAE62" s="1"/>
      <c r="CAF62" s="1"/>
      <c r="CAG62" s="1"/>
      <c r="CAJ62" s="1"/>
      <c r="CAK62" s="1"/>
      <c r="CAL62" s="1"/>
      <c r="CAM62" s="1"/>
      <c r="CAN62" s="1"/>
      <c r="CAO62" s="1"/>
      <c r="CAR62" s="1"/>
      <c r="CAS62" s="1"/>
      <c r="CAT62" s="1"/>
      <c r="CAU62" s="1"/>
      <c r="CAV62" s="1"/>
      <c r="CAW62" s="1"/>
      <c r="CAZ62" s="1"/>
      <c r="CBA62" s="1"/>
      <c r="CBB62" s="1"/>
      <c r="CBC62" s="1"/>
      <c r="CBD62" s="1"/>
      <c r="CBE62" s="1"/>
      <c r="CBH62" s="1"/>
      <c r="CBI62" s="1"/>
      <c r="CBJ62" s="1"/>
      <c r="CBK62" s="1"/>
      <c r="CBL62" s="1"/>
      <c r="CBM62" s="1"/>
      <c r="CBP62" s="1"/>
      <c r="CBQ62" s="1"/>
      <c r="CBR62" s="1"/>
      <c r="CBS62" s="1"/>
      <c r="CBT62" s="1"/>
      <c r="CBU62" s="1"/>
      <c r="CBX62" s="1"/>
      <c r="CBY62" s="1"/>
      <c r="CBZ62" s="1"/>
      <c r="CCA62" s="1"/>
      <c r="CCB62" s="1"/>
      <c r="CCC62" s="1"/>
      <c r="CCF62" s="1"/>
      <c r="CCG62" s="1"/>
      <c r="CCH62" s="1"/>
      <c r="CCI62" s="1"/>
      <c r="CCJ62" s="1"/>
      <c r="CCK62" s="1"/>
      <c r="CCN62" s="1"/>
      <c r="CCO62" s="1"/>
      <c r="CCP62" s="1"/>
      <c r="CCQ62" s="1"/>
      <c r="CCR62" s="1"/>
      <c r="CCS62" s="1"/>
      <c r="CCV62" s="1"/>
      <c r="CCW62" s="1"/>
      <c r="CCX62" s="1"/>
      <c r="CCY62" s="1"/>
      <c r="CCZ62" s="1"/>
      <c r="CDA62" s="1"/>
      <c r="CDD62" s="1"/>
      <c r="CDE62" s="1"/>
      <c r="CDF62" s="1"/>
      <c r="CDG62" s="1"/>
      <c r="CDH62" s="1"/>
      <c r="CDI62" s="1"/>
      <c r="CDL62" s="1"/>
      <c r="CDM62" s="1"/>
      <c r="CDN62" s="1"/>
      <c r="CDO62" s="1"/>
      <c r="CDP62" s="1"/>
      <c r="CDQ62" s="1"/>
      <c r="CDT62" s="1"/>
      <c r="CDU62" s="1"/>
      <c r="CDV62" s="1"/>
      <c r="CDW62" s="1"/>
      <c r="CDX62" s="1"/>
      <c r="CDY62" s="1"/>
      <c r="CEB62" s="1"/>
      <c r="CEC62" s="1"/>
      <c r="CED62" s="1"/>
      <c r="CEE62" s="1"/>
      <c r="CEF62" s="1"/>
      <c r="CEG62" s="1"/>
      <c r="CEJ62" s="1"/>
      <c r="CEK62" s="1"/>
      <c r="CEL62" s="1"/>
      <c r="CEM62" s="1"/>
      <c r="CEN62" s="1"/>
      <c r="CEO62" s="1"/>
      <c r="CER62" s="1"/>
      <c r="CES62" s="1"/>
      <c r="CET62" s="1"/>
      <c r="CEU62" s="1"/>
      <c r="CEV62" s="1"/>
      <c r="CEW62" s="1"/>
      <c r="CEZ62" s="1"/>
      <c r="CFA62" s="1"/>
      <c r="CFB62" s="1"/>
      <c r="CFC62" s="1"/>
      <c r="CFD62" s="1"/>
      <c r="CFE62" s="1"/>
      <c r="CFH62" s="1"/>
      <c r="CFI62" s="1"/>
      <c r="CFJ62" s="1"/>
      <c r="CFK62" s="1"/>
      <c r="CFL62" s="1"/>
      <c r="CFM62" s="1"/>
      <c r="CFP62" s="1"/>
      <c r="CFQ62" s="1"/>
      <c r="CFR62" s="1"/>
      <c r="CFS62" s="1"/>
      <c r="CFT62" s="1"/>
      <c r="CFU62" s="1"/>
      <c r="CFX62" s="1"/>
      <c r="CFY62" s="1"/>
      <c r="CFZ62" s="1"/>
      <c r="CGA62" s="1"/>
      <c r="CGB62" s="1"/>
      <c r="CGC62" s="1"/>
      <c r="CGF62" s="1"/>
      <c r="CGG62" s="1"/>
      <c r="CGH62" s="1"/>
      <c r="CGI62" s="1"/>
      <c r="CGJ62" s="1"/>
      <c r="CGK62" s="1"/>
      <c r="CGN62" s="1"/>
      <c r="CGO62" s="1"/>
      <c r="CGP62" s="1"/>
      <c r="CGQ62" s="1"/>
      <c r="CGR62" s="1"/>
      <c r="CGS62" s="1"/>
      <c r="CGV62" s="1"/>
      <c r="CGW62" s="1"/>
      <c r="CGX62" s="1"/>
      <c r="CGY62" s="1"/>
      <c r="CGZ62" s="1"/>
      <c r="CHA62" s="1"/>
      <c r="CHD62" s="1"/>
      <c r="CHE62" s="1"/>
      <c r="CHF62" s="1"/>
      <c r="CHG62" s="1"/>
      <c r="CHH62" s="1"/>
      <c r="CHI62" s="1"/>
      <c r="CHL62" s="1"/>
      <c r="CHM62" s="1"/>
      <c r="CHN62" s="1"/>
      <c r="CHO62" s="1"/>
      <c r="CHP62" s="1"/>
      <c r="CHQ62" s="1"/>
      <c r="CHT62" s="1"/>
      <c r="CHU62" s="1"/>
      <c r="CHV62" s="1"/>
      <c r="CHW62" s="1"/>
      <c r="CHX62" s="1"/>
      <c r="CHY62" s="1"/>
      <c r="CIB62" s="1"/>
      <c r="CIC62" s="1"/>
      <c r="CID62" s="1"/>
      <c r="CIE62" s="1"/>
      <c r="CIF62" s="1"/>
      <c r="CIG62" s="1"/>
      <c r="CIJ62" s="1"/>
      <c r="CIK62" s="1"/>
      <c r="CIL62" s="1"/>
      <c r="CIM62" s="1"/>
      <c r="CIN62" s="1"/>
      <c r="CIO62" s="1"/>
      <c r="CIR62" s="1"/>
      <c r="CIS62" s="1"/>
      <c r="CIT62" s="1"/>
      <c r="CIU62" s="1"/>
      <c r="CIV62" s="1"/>
      <c r="CIW62" s="1"/>
      <c r="CIZ62" s="1"/>
      <c r="CJA62" s="1"/>
      <c r="CJB62" s="1"/>
      <c r="CJC62" s="1"/>
      <c r="CJD62" s="1"/>
      <c r="CJE62" s="1"/>
      <c r="CJH62" s="1"/>
      <c r="CJI62" s="1"/>
      <c r="CJJ62" s="1"/>
      <c r="CJK62" s="1"/>
      <c r="CJL62" s="1"/>
      <c r="CJM62" s="1"/>
      <c r="CJP62" s="1"/>
      <c r="CJQ62" s="1"/>
      <c r="CJR62" s="1"/>
      <c r="CJS62" s="1"/>
      <c r="CJT62" s="1"/>
      <c r="CJU62" s="1"/>
      <c r="CJX62" s="1"/>
      <c r="CJY62" s="1"/>
      <c r="CJZ62" s="1"/>
      <c r="CKA62" s="1"/>
      <c r="CKB62" s="1"/>
      <c r="CKC62" s="1"/>
      <c r="CKF62" s="1"/>
      <c r="CKG62" s="1"/>
      <c r="CKH62" s="1"/>
      <c r="CKI62" s="1"/>
      <c r="CKJ62" s="1"/>
      <c r="CKK62" s="1"/>
      <c r="CKN62" s="1"/>
      <c r="CKO62" s="1"/>
      <c r="CKP62" s="1"/>
      <c r="CKQ62" s="1"/>
      <c r="CKR62" s="1"/>
      <c r="CKV62" s="1"/>
      <c r="CKW62" s="1"/>
      <c r="CKX62" s="1"/>
      <c r="CKY62" s="1"/>
      <c r="CKZ62" s="1"/>
      <c r="CLA62" s="1"/>
      <c r="CLD62" s="1"/>
      <c r="CLE62" s="1"/>
      <c r="CLF62" s="1"/>
      <c r="CLG62" s="1"/>
      <c r="CLH62" s="1"/>
      <c r="CLI62" s="1"/>
      <c r="CLL62" s="1"/>
      <c r="CLM62" s="1"/>
      <c r="CLN62" s="1"/>
      <c r="CLO62" s="1"/>
      <c r="CLP62" s="1"/>
      <c r="CLQ62" s="1"/>
      <c r="CLT62" s="1"/>
      <c r="CLU62" s="1"/>
      <c r="CLV62" s="1"/>
      <c r="CLW62" s="1"/>
      <c r="CLX62" s="1"/>
      <c r="CLY62" s="1"/>
      <c r="CMB62" s="1"/>
      <c r="CMC62" s="1"/>
      <c r="CMD62" s="1"/>
      <c r="CME62" s="1"/>
      <c r="CMF62" s="1"/>
      <c r="CMG62" s="1"/>
      <c r="CMJ62" s="1"/>
      <c r="CMK62" s="1"/>
      <c r="CML62" s="1"/>
      <c r="CMM62" s="1"/>
      <c r="CMN62" s="1"/>
      <c r="CMO62" s="1"/>
      <c r="CMR62" s="1"/>
      <c r="CMS62" s="1"/>
      <c r="CMT62" s="1"/>
      <c r="CMU62" s="1"/>
      <c r="CMV62" s="1"/>
      <c r="CMW62" s="1"/>
      <c r="CMZ62" s="1"/>
      <c r="CNA62" s="1"/>
      <c r="CNB62" s="1"/>
      <c r="CNC62" s="1"/>
      <c r="CND62" s="1"/>
      <c r="CNE62" s="1"/>
      <c r="CNH62" s="1"/>
      <c r="CNI62" s="1"/>
      <c r="CNJ62" s="1"/>
      <c r="CNK62" s="1"/>
      <c r="CNL62" s="1"/>
      <c r="CNM62" s="1"/>
      <c r="CNP62" s="1"/>
      <c r="CNQ62" s="1"/>
      <c r="CNR62" s="1"/>
      <c r="CNS62" s="1"/>
      <c r="CNT62" s="1"/>
      <c r="CNU62" s="1"/>
      <c r="CNX62" s="1"/>
      <c r="CNY62" s="1"/>
      <c r="CNZ62" s="1"/>
      <c r="COA62" s="1"/>
      <c r="COB62" s="1"/>
      <c r="COC62" s="1"/>
      <c r="COF62" s="1"/>
      <c r="COG62" s="1"/>
      <c r="COH62" s="1"/>
      <c r="COI62" s="1"/>
      <c r="COJ62" s="1"/>
      <c r="COK62" s="1"/>
      <c r="CON62" s="1"/>
      <c r="COO62" s="1"/>
      <c r="COP62" s="1"/>
      <c r="COQ62" s="1"/>
      <c r="COR62" s="1"/>
      <c r="COS62" s="1"/>
      <c r="COV62" s="1"/>
      <c r="COW62" s="1"/>
      <c r="COX62" s="1"/>
      <c r="COY62" s="1"/>
      <c r="COZ62" s="1"/>
      <c r="CPA62" s="1"/>
      <c r="CPD62" s="1"/>
      <c r="CPE62" s="1"/>
      <c r="CPF62" s="1"/>
      <c r="CPG62" s="1"/>
      <c r="CPH62" s="1"/>
      <c r="CPI62" s="1"/>
      <c r="CPL62" s="1"/>
      <c r="CPM62" s="1"/>
      <c r="CPN62" s="1"/>
      <c r="CPO62" s="1"/>
      <c r="CPP62" s="1"/>
      <c r="CPQ62" s="1"/>
      <c r="CPT62" s="1"/>
      <c r="CPU62" s="1"/>
      <c r="CPV62" s="1"/>
      <c r="CPW62" s="1"/>
      <c r="CPX62" s="1"/>
      <c r="CPY62" s="1"/>
      <c r="CQB62" s="1"/>
      <c r="CQC62" s="1"/>
      <c r="CQD62" s="1"/>
      <c r="CQE62" s="1"/>
      <c r="CQF62" s="1"/>
      <c r="CQG62" s="1"/>
      <c r="CQJ62" s="77"/>
      <c r="CQK62" s="77"/>
      <c r="CQL62" s="77"/>
      <c r="CQM62" s="77"/>
      <c r="CQN62" s="77"/>
      <c r="CQO62" s="77"/>
      <c r="CQR62" s="1"/>
      <c r="CQS62" s="1"/>
      <c r="CQT62" s="1"/>
      <c r="CQU62" s="1"/>
      <c r="CQV62" s="1"/>
      <c r="CQW62" s="1"/>
      <c r="CQZ62" s="1"/>
      <c r="CRA62" s="1"/>
      <c r="CRB62" s="1"/>
      <c r="CRC62" s="1"/>
      <c r="CRD62" s="1"/>
      <c r="CRE62" s="1"/>
      <c r="CRH62" s="1"/>
      <c r="CRI62" s="1"/>
      <c r="CRJ62" s="1"/>
      <c r="CRK62" s="1"/>
      <c r="CRL62" s="1"/>
      <c r="CRM62" s="1"/>
      <c r="CRP62" s="1"/>
      <c r="CRQ62" s="1"/>
      <c r="CRR62" s="1"/>
      <c r="CRS62" s="1"/>
      <c r="CRT62" s="1"/>
      <c r="CRU62" s="1"/>
      <c r="CRX62" s="1"/>
      <c r="CRY62" s="1"/>
      <c r="CRZ62" s="1"/>
      <c r="CSA62" s="1"/>
      <c r="CSB62" s="1"/>
      <c r="CSC62" s="1"/>
      <c r="CSF62" s="1"/>
      <c r="CSG62" s="1"/>
      <c r="CSH62" s="1"/>
      <c r="CSI62" s="1"/>
      <c r="CSJ62" s="1"/>
      <c r="CSK62" s="1"/>
      <c r="CSN62" s="1"/>
      <c r="CSO62" s="1"/>
      <c r="CSP62" s="1"/>
      <c r="CSQ62" s="1"/>
      <c r="CSR62" s="1"/>
      <c r="CSS62" s="1"/>
      <c r="CSV62" s="1"/>
      <c r="CSW62" s="1"/>
      <c r="CSX62" s="1"/>
      <c r="CSY62" s="1"/>
      <c r="CSZ62" s="1"/>
      <c r="CTA62" s="1"/>
      <c r="CTD62" s="1"/>
      <c r="CTE62" s="1"/>
      <c r="CTF62" s="1"/>
      <c r="CTG62" s="1"/>
      <c r="CTH62" s="1"/>
      <c r="CTI62" s="1"/>
      <c r="CTL62" s="1"/>
      <c r="CTM62" s="1"/>
      <c r="CTN62" s="1"/>
      <c r="CTO62" s="1"/>
      <c r="CTP62" s="1"/>
      <c r="CTQ62" s="1"/>
      <c r="CTT62" s="1"/>
      <c r="CTU62" s="1"/>
      <c r="CTV62" s="1"/>
      <c r="CTW62" s="1"/>
      <c r="CTX62" s="1"/>
      <c r="CTY62" s="1"/>
      <c r="CUB62" s="1"/>
      <c r="CUC62" s="1"/>
      <c r="CUD62" s="1"/>
      <c r="CUE62" s="1"/>
      <c r="CUF62" s="1"/>
      <c r="CUG62" s="1"/>
      <c r="CUJ62" s="1"/>
      <c r="CUK62" s="1"/>
      <c r="CUL62" s="1"/>
      <c r="CUM62" s="1"/>
      <c r="CUN62" s="1"/>
      <c r="CUO62" s="1"/>
      <c r="CUR62" s="1"/>
      <c r="CUS62" s="1"/>
      <c r="CUT62" s="1"/>
      <c r="CUU62" s="1"/>
      <c r="CUV62" s="1"/>
      <c r="CUW62" s="1"/>
      <c r="CUZ62" s="1"/>
      <c r="CVA62" s="1"/>
      <c r="CVB62" s="1"/>
      <c r="CVC62" s="1"/>
      <c r="CVD62" s="1"/>
      <c r="CVE62" s="1"/>
      <c r="CVH62" s="1"/>
      <c r="CVI62" s="1"/>
      <c r="CVJ62" s="1"/>
      <c r="CVK62" s="1"/>
      <c r="CVL62" s="1"/>
      <c r="CVM62" s="1"/>
      <c r="CVP62" s="1"/>
      <c r="CVQ62" s="1"/>
      <c r="CVR62" s="1"/>
      <c r="CVS62" s="1"/>
      <c r="CVT62" s="1"/>
      <c r="CVU62" s="1"/>
      <c r="CVX62" s="1"/>
      <c r="CVY62" s="1"/>
      <c r="CVZ62" s="1"/>
      <c r="CWA62" s="1"/>
      <c r="CWB62" s="1"/>
      <c r="CWC62" s="1"/>
      <c r="CWF62" s="1"/>
      <c r="CWG62" s="1"/>
      <c r="CWH62" s="1"/>
      <c r="CWI62" s="1"/>
      <c r="CWJ62" s="1"/>
      <c r="CWK62" s="1"/>
      <c r="CWN62" s="1"/>
      <c r="CWO62" s="1"/>
      <c r="CWP62" s="1"/>
      <c r="CWQ62" s="1"/>
      <c r="CWR62" s="1"/>
      <c r="CWS62" s="1"/>
      <c r="CWV62" s="1"/>
      <c r="CWW62" s="1"/>
      <c r="CWX62" s="1"/>
      <c r="CWY62" s="1"/>
      <c r="CWZ62" s="1"/>
      <c r="CXA62" s="1"/>
      <c r="CXD62" s="1"/>
      <c r="CXE62" s="1"/>
      <c r="CXF62" s="1"/>
      <c r="CXG62" s="1"/>
      <c r="CXH62" s="1"/>
      <c r="CXI62" s="1"/>
      <c r="CXL62" s="1"/>
      <c r="CXM62" s="1"/>
      <c r="CXN62" s="1"/>
      <c r="CXO62" s="1"/>
      <c r="CXP62" s="1"/>
      <c r="CXQ62" s="1"/>
      <c r="CXT62" s="1"/>
      <c r="CXU62" s="1"/>
      <c r="CXV62" s="1"/>
      <c r="CXW62" s="1"/>
      <c r="CXX62" s="1"/>
      <c r="CXY62" s="1"/>
      <c r="CYB62" s="1"/>
      <c r="CYC62" s="1"/>
      <c r="CYD62" s="1"/>
      <c r="CYE62" s="1"/>
      <c r="CYF62" s="1"/>
      <c r="CYG62" s="1"/>
      <c r="CYJ62" s="1"/>
      <c r="CYK62" s="1"/>
      <c r="CYL62" s="1"/>
      <c r="CYM62" s="1"/>
      <c r="CYN62" s="1"/>
      <c r="CYO62" s="1"/>
      <c r="CYR62" s="1"/>
      <c r="CYS62" s="1"/>
      <c r="CYT62" s="1"/>
      <c r="CYU62" s="1"/>
      <c r="CYV62" s="1"/>
      <c r="CYW62" s="1"/>
      <c r="CYZ62" s="1"/>
      <c r="CZA62" s="1"/>
      <c r="CZB62" s="1"/>
      <c r="CZC62" s="1"/>
      <c r="CZD62" s="1"/>
      <c r="CZE62" s="1"/>
      <c r="CZH62" s="1"/>
      <c r="CZI62" s="1"/>
      <c r="CZJ62" s="1"/>
      <c r="CZK62" s="1"/>
      <c r="CZL62" s="1"/>
      <c r="CZM62" s="1"/>
      <c r="CZP62" s="1"/>
      <c r="CZQ62" s="1"/>
      <c r="CZR62" s="1"/>
      <c r="CZS62" s="1"/>
      <c r="CZT62" s="1"/>
      <c r="CZU62" s="1"/>
      <c r="CZX62" s="1"/>
      <c r="CZY62" s="1"/>
      <c r="CZZ62" s="1"/>
      <c r="DAA62" s="1"/>
      <c r="DAB62" s="1"/>
      <c r="DAC62" s="1"/>
      <c r="DAF62" s="1"/>
      <c r="DAG62" s="1"/>
      <c r="DAH62" s="1"/>
      <c r="DAI62" s="1"/>
      <c r="DAJ62" s="1"/>
      <c r="DAK62" s="1"/>
      <c r="DAN62" s="1"/>
      <c r="DAO62" s="1"/>
      <c r="DAP62" s="1"/>
      <c r="DAQ62" s="1"/>
      <c r="DAR62" s="1"/>
      <c r="DAS62" s="1"/>
      <c r="DAV62" s="1"/>
      <c r="DAW62" s="1"/>
      <c r="DAX62" s="1"/>
      <c r="DAY62" s="1"/>
      <c r="DAZ62" s="1"/>
      <c r="DBA62" s="1"/>
      <c r="DBD62" s="1"/>
      <c r="DBE62" s="1"/>
      <c r="DBF62" s="1"/>
      <c r="DBG62" s="1"/>
      <c r="DBH62" s="1"/>
      <c r="DBI62" s="1"/>
      <c r="DBL62" s="1"/>
      <c r="DBM62" s="1"/>
      <c r="DBN62" s="1"/>
      <c r="DBO62" s="1"/>
      <c r="DBP62" s="1"/>
      <c r="DBQ62" s="1"/>
      <c r="DBT62" s="1"/>
      <c r="DBU62" s="1"/>
      <c r="DBV62" s="1"/>
      <c r="DBW62" s="1"/>
      <c r="DBX62" s="1"/>
      <c r="DBY62" s="1"/>
      <c r="DCB62" s="1"/>
      <c r="DCC62" s="1"/>
      <c r="DCD62" s="1"/>
      <c r="DCE62" s="1"/>
      <c r="DCF62" s="1"/>
      <c r="DCG62" s="1"/>
      <c r="DCJ62" s="1"/>
      <c r="DCK62" s="1"/>
      <c r="DCL62" s="1"/>
      <c r="DCM62" s="1"/>
      <c r="DCN62" s="1"/>
      <c r="DCO62" s="1"/>
      <c r="DCR62" s="1"/>
      <c r="DCS62" s="1"/>
      <c r="DCT62" s="1"/>
      <c r="DCU62" s="1"/>
      <c r="DCV62" s="1"/>
      <c r="DCW62" s="1"/>
      <c r="DCZ62" s="1"/>
      <c r="DDA62" s="1"/>
      <c r="DDB62" s="1"/>
      <c r="DDC62" s="1"/>
      <c r="DDD62" s="1"/>
      <c r="DDE62" s="1"/>
      <c r="DDH62" s="1"/>
      <c r="DDI62" s="1"/>
      <c r="DDJ62" s="1"/>
      <c r="DDK62" s="1"/>
      <c r="DDL62" s="1"/>
      <c r="DDM62" s="1"/>
      <c r="DDP62" s="1"/>
      <c r="DDQ62" s="1"/>
      <c r="DDR62" s="1"/>
      <c r="DDS62" s="1"/>
      <c r="DDT62" s="1"/>
      <c r="DDU62" s="1"/>
      <c r="DDX62" s="1"/>
      <c r="DDY62" s="1"/>
      <c r="DDZ62" s="1"/>
      <c r="DEA62" s="1"/>
      <c r="DEB62" s="1"/>
      <c r="DEC62" s="1"/>
      <c r="DEF62" s="1"/>
      <c r="DEG62" s="1"/>
      <c r="DEH62" s="1"/>
      <c r="DEI62" s="1"/>
      <c r="DEJ62" s="1"/>
      <c r="DEK62" s="1"/>
      <c r="DEN62" s="1"/>
      <c r="DEO62" s="1"/>
      <c r="DEP62" s="1"/>
      <c r="DEQ62" s="1"/>
      <c r="DER62" s="1"/>
      <c r="DES62" s="1"/>
      <c r="DEV62" s="1"/>
      <c r="DEW62" s="1"/>
      <c r="DEX62" s="1"/>
      <c r="DEY62" s="1"/>
      <c r="DEZ62" s="1"/>
      <c r="DFA62" s="1"/>
      <c r="DFD62" s="1"/>
      <c r="DFE62" s="1"/>
      <c r="DFF62" s="1"/>
      <c r="DFG62" s="1"/>
      <c r="DFH62" s="1"/>
      <c r="DFI62" s="1"/>
      <c r="DFL62" s="1"/>
      <c r="DFM62" s="1"/>
      <c r="DFN62" s="1"/>
      <c r="DFO62" s="1"/>
      <c r="DFP62" s="1"/>
      <c r="DFQ62" s="1"/>
      <c r="DFT62" s="1"/>
      <c r="DFU62" s="1"/>
      <c r="DFV62" s="1"/>
      <c r="DFW62" s="1"/>
      <c r="DFX62" s="1"/>
      <c r="DFY62" s="1"/>
      <c r="DGB62" s="1"/>
      <c r="DGC62" s="1"/>
      <c r="DGD62" s="1"/>
      <c r="DGE62" s="1"/>
      <c r="DGF62" s="1"/>
      <c r="DGG62" s="1"/>
      <c r="DGJ62" s="1"/>
      <c r="DGK62" s="1"/>
      <c r="DGL62" s="1"/>
      <c r="DGM62" s="1"/>
      <c r="DGN62" s="1"/>
      <c r="DGO62" s="1"/>
      <c r="DGR62" s="1"/>
      <c r="DGS62" s="1"/>
      <c r="DGT62" s="1"/>
      <c r="DGU62" s="1"/>
      <c r="DGV62" s="1"/>
      <c r="DGW62" s="1"/>
      <c r="DGZ62" s="1"/>
      <c r="DHA62" s="1"/>
      <c r="DHB62" s="1"/>
      <c r="DHC62" s="1"/>
      <c r="DHD62" s="1"/>
      <c r="DHE62" s="1"/>
      <c r="DHH62" s="1"/>
      <c r="DHI62" s="1"/>
      <c r="DHJ62" s="1"/>
      <c r="DHK62" s="1"/>
      <c r="DHL62" s="1"/>
      <c r="DHM62" s="1"/>
      <c r="DHP62" s="1"/>
      <c r="DHQ62" s="1"/>
      <c r="DHR62" s="1"/>
      <c r="DHS62" s="1"/>
      <c r="DHT62" s="1"/>
      <c r="DHU62" s="1"/>
      <c r="DHX62" s="1"/>
      <c r="DHY62" s="1"/>
      <c r="DHZ62" s="1"/>
      <c r="DIA62" s="1"/>
      <c r="DIB62" s="1"/>
      <c r="DIC62" s="1"/>
      <c r="DIF62" s="1"/>
      <c r="DIG62" s="1"/>
      <c r="DIH62" s="1"/>
      <c r="DII62" s="1"/>
      <c r="DIJ62" s="1"/>
      <c r="DIK62" s="1"/>
      <c r="DIN62" s="1"/>
      <c r="DIO62" s="1"/>
      <c r="DIP62" s="1"/>
      <c r="DIQ62" s="1"/>
      <c r="DIR62" s="1"/>
      <c r="DIS62" s="1"/>
      <c r="DIV62" s="1"/>
      <c r="DIW62" s="1"/>
      <c r="DIX62" s="1"/>
      <c r="DIY62" s="1"/>
      <c r="DIZ62" s="1"/>
      <c r="DJA62" s="1"/>
      <c r="DJD62" s="1"/>
      <c r="DJE62" s="1"/>
      <c r="DJF62" s="1"/>
      <c r="DJG62" s="1"/>
      <c r="DJH62" s="1"/>
      <c r="DJI62" s="1"/>
      <c r="DJL62" s="1"/>
      <c r="DJM62" s="1"/>
      <c r="DJN62" s="1"/>
      <c r="DJO62" s="1"/>
      <c r="DJP62" s="1"/>
      <c r="DJQ62" s="1"/>
      <c r="DJT62" s="1"/>
      <c r="DJU62" s="1"/>
      <c r="DJV62" s="1"/>
      <c r="DJW62" s="1"/>
      <c r="DJX62" s="1"/>
      <c r="DJY62" s="1"/>
      <c r="DKB62" s="1"/>
      <c r="DKC62" s="1"/>
      <c r="DKD62" s="1"/>
      <c r="DKE62" s="1"/>
      <c r="DKF62" s="1"/>
      <c r="DKG62" s="1"/>
      <c r="DKJ62" s="1"/>
      <c r="DKK62" s="1"/>
      <c r="DKL62" s="1"/>
      <c r="DKM62" s="1"/>
      <c r="DKN62" s="1"/>
      <c r="DKO62" s="1"/>
      <c r="DKR62" s="1"/>
      <c r="DKS62" s="1"/>
      <c r="DKT62" s="1"/>
      <c r="DKU62" s="1"/>
      <c r="DKV62" s="1"/>
      <c r="DKW62" s="1"/>
      <c r="DKZ62" s="1"/>
      <c r="DLA62" s="1"/>
      <c r="DLB62" s="1"/>
      <c r="DLC62" s="1"/>
      <c r="DLD62" s="1"/>
      <c r="DLE62" s="1"/>
      <c r="DLH62" s="1"/>
      <c r="DLI62" s="1"/>
      <c r="DLJ62" s="1"/>
      <c r="DLK62" s="1"/>
      <c r="DLL62" s="1"/>
      <c r="DLM62" s="1"/>
      <c r="DLP62" s="1"/>
      <c r="DLQ62" s="1"/>
      <c r="DLR62" s="1"/>
      <c r="DLS62" s="1"/>
      <c r="DLT62" s="1"/>
      <c r="DLU62" s="1"/>
      <c r="DLX62" s="1"/>
      <c r="DLY62" s="1"/>
      <c r="DLZ62" s="1"/>
      <c r="DMA62" s="1"/>
      <c r="DMB62" s="1"/>
      <c r="DMC62" s="1"/>
      <c r="DMF62" s="1"/>
      <c r="DMG62" s="1"/>
      <c r="DMH62" s="1"/>
      <c r="DMI62" s="1"/>
      <c r="DMJ62" s="1"/>
      <c r="DMK62" s="1"/>
      <c r="DMN62" s="1"/>
      <c r="DMO62" s="1"/>
      <c r="DMP62" s="1"/>
      <c r="DMQ62" s="1"/>
      <c r="DMR62" s="1"/>
      <c r="DMS62" s="1"/>
      <c r="DMV62" s="1"/>
      <c r="DMW62" s="1"/>
      <c r="DMX62" s="1"/>
      <c r="DMY62" s="1"/>
      <c r="DMZ62" s="1"/>
      <c r="DNA62" s="1"/>
      <c r="DND62" s="1"/>
      <c r="DNE62" s="1"/>
      <c r="DNF62" s="1"/>
      <c r="DNG62" s="1"/>
      <c r="DNH62" s="1"/>
      <c r="DNI62" s="1"/>
      <c r="DNL62" s="1"/>
      <c r="DNM62" s="1"/>
      <c r="DNN62" s="1"/>
      <c r="DNO62" s="1"/>
      <c r="DNP62" s="1"/>
      <c r="DNQ62" s="1"/>
      <c r="DNT62" s="1"/>
      <c r="DNU62" s="1"/>
      <c r="DNV62" s="1"/>
      <c r="DNW62" s="1"/>
      <c r="DNX62" s="1"/>
      <c r="DNY62" s="1"/>
      <c r="DOB62" s="1"/>
      <c r="DOC62" s="1"/>
      <c r="DOD62" s="1"/>
      <c r="DOE62" s="1"/>
      <c r="DOF62" s="1"/>
      <c r="DOG62" s="1"/>
      <c r="DOJ62" s="1"/>
      <c r="DOK62" s="1"/>
      <c r="DOL62" s="1"/>
      <c r="DOM62" s="1"/>
      <c r="DON62" s="1"/>
      <c r="DOO62" s="1"/>
      <c r="DOR62" s="1"/>
      <c r="DOS62" s="1"/>
      <c r="DOT62" s="1"/>
      <c r="DOU62" s="1"/>
      <c r="DOV62" s="1"/>
      <c r="DOW62" s="1"/>
      <c r="DOZ62" s="1"/>
      <c r="DPA62" s="1"/>
      <c r="DPB62" s="1"/>
      <c r="DPC62" s="1"/>
      <c r="DPD62" s="1"/>
      <c r="DPE62" s="1"/>
      <c r="DPF62" s="1"/>
      <c r="DPG62" s="1"/>
      <c r="DPH62" s="1"/>
      <c r="DPI62" s="1"/>
      <c r="DPJ62" s="1"/>
      <c r="DPK62" s="1"/>
      <c r="DPL62" s="1"/>
      <c r="DPM62" s="1"/>
      <c r="DPP62" s="1"/>
      <c r="DPQ62" s="1"/>
      <c r="DPR62" s="1"/>
      <c r="DPS62" s="1"/>
      <c r="DPT62" s="1"/>
      <c r="DPU62" s="1"/>
      <c r="DPX62" s="1"/>
      <c r="DPY62" s="1"/>
      <c r="DPZ62" s="1"/>
      <c r="DQA62" s="1"/>
      <c r="DQB62" s="1"/>
      <c r="DQC62" s="1"/>
      <c r="DQF62" s="1"/>
      <c r="DQG62" s="1"/>
      <c r="DQH62" s="1"/>
      <c r="DQI62" s="1"/>
      <c r="DQJ62" s="1"/>
      <c r="DQK62" s="1"/>
      <c r="DQM62" s="169"/>
      <c r="DQN62" s="1"/>
      <c r="DQO62" s="1"/>
      <c r="DQP62" s="1"/>
      <c r="DQQ62" s="1"/>
      <c r="DQR62" s="1"/>
      <c r="DQS62" s="1"/>
      <c r="DQV62" s="1"/>
      <c r="DQW62" s="1"/>
      <c r="DQX62" s="1"/>
      <c r="DQY62" s="1"/>
      <c r="DQZ62" s="1"/>
      <c r="DRA62" s="1"/>
      <c r="DRD62" s="1"/>
      <c r="DRE62" s="1"/>
      <c r="DRF62" s="1"/>
      <c r="DRG62" s="1"/>
      <c r="DRH62" s="1"/>
      <c r="DRI62" s="1"/>
      <c r="DRL62" s="1"/>
      <c r="DRM62" s="1"/>
      <c r="DRN62" s="1"/>
      <c r="DRO62" s="1"/>
      <c r="DRP62" s="1"/>
      <c r="DRQ62" s="1"/>
      <c r="DRT62" s="1"/>
      <c r="DRU62" s="1"/>
      <c r="DRV62" s="1"/>
      <c r="DRW62" s="1"/>
      <c r="DRX62" s="1"/>
      <c r="DRY62" s="1"/>
      <c r="DSB62" s="77"/>
      <c r="DSC62" s="77"/>
      <c r="DSD62" s="77"/>
      <c r="DSE62" s="77"/>
      <c r="DSF62" s="77"/>
      <c r="DSG62" s="77"/>
      <c r="DSJ62" s="1"/>
      <c r="DSK62" s="1"/>
      <c r="DSL62" s="1"/>
      <c r="DSM62" s="1"/>
      <c r="DSN62" s="1"/>
      <c r="DSO62" s="1"/>
      <c r="DSR62" s="1"/>
      <c r="DSS62" s="1"/>
      <c r="DST62" s="1"/>
      <c r="DSU62" s="1"/>
      <c r="DSV62" s="1"/>
      <c r="DSW62" s="1"/>
      <c r="DSZ62" s="1"/>
      <c r="DTA62" s="1"/>
      <c r="DTB62" s="1"/>
      <c r="DTC62" s="1"/>
      <c r="DTD62" s="1"/>
      <c r="DTE62" s="1"/>
      <c r="DTH62" s="1"/>
      <c r="DTI62" s="1"/>
      <c r="DTJ62" s="1"/>
      <c r="DTK62" s="1"/>
      <c r="DTL62" s="1"/>
      <c r="DTM62" s="1"/>
      <c r="DTP62" s="1"/>
      <c r="DTQ62" s="1"/>
      <c r="DTR62" s="1"/>
      <c r="DTS62" s="1"/>
      <c r="DTT62" s="1"/>
      <c r="DTU62" s="1"/>
      <c r="DTX62" s="1"/>
      <c r="DTY62" s="1"/>
      <c r="DTZ62" s="1"/>
      <c r="DUA62" s="1"/>
      <c r="DUB62" s="1"/>
      <c r="DUC62" s="1"/>
      <c r="DUF62" s="1"/>
      <c r="DUG62" s="1"/>
      <c r="DUH62" s="1"/>
      <c r="DUI62" s="1"/>
      <c r="DUJ62" s="1"/>
      <c r="DUK62" s="1"/>
      <c r="DUN62" s="1"/>
      <c r="DUO62" s="1"/>
      <c r="DUP62" s="1"/>
      <c r="DUQ62" s="1"/>
      <c r="DUR62" s="1"/>
      <c r="DUS62" s="1"/>
      <c r="DUV62" s="1"/>
      <c r="DUW62" s="1"/>
      <c r="DUX62" s="1"/>
      <c r="DUY62" s="1"/>
      <c r="DUZ62" s="1"/>
      <c r="DVA62" s="1"/>
      <c r="DVD62" s="1"/>
      <c r="DVE62" s="1"/>
      <c r="DVF62" s="1"/>
      <c r="DVG62" s="1"/>
      <c r="DVH62" s="1"/>
      <c r="DVI62" s="1"/>
      <c r="DVL62" s="1"/>
      <c r="DVM62" s="1"/>
      <c r="DVN62" s="1"/>
      <c r="DVO62" s="1"/>
      <c r="DVP62" s="1"/>
      <c r="DVQ62" s="1"/>
      <c r="DVT62" s="1"/>
      <c r="DVU62" s="1"/>
      <c r="DVV62" s="1"/>
      <c r="DVW62" s="1"/>
      <c r="DVX62" s="1"/>
      <c r="DVY62" s="1"/>
      <c r="DWB62" s="1"/>
      <c r="DWC62" s="1"/>
      <c r="DWD62" s="1"/>
      <c r="DWE62" s="1"/>
      <c r="DWF62" s="1"/>
      <c r="DWG62" s="1"/>
      <c r="DWJ62" s="1"/>
      <c r="DWK62" s="1"/>
      <c r="DWL62" s="1"/>
      <c r="DWM62" s="1"/>
      <c r="DWN62" s="1"/>
      <c r="DWO62" s="1"/>
      <c r="DWR62" s="1"/>
      <c r="DWS62" s="1"/>
      <c r="DWT62" s="1"/>
      <c r="DWU62" s="1"/>
      <c r="DWV62" s="1"/>
      <c r="DWW62" s="1"/>
      <c r="DWZ62" s="1"/>
      <c r="DXA62" s="1"/>
      <c r="DXB62" s="1"/>
      <c r="DXC62" s="1"/>
      <c r="DXD62" s="1"/>
      <c r="DXE62" s="1"/>
      <c r="DXH62" s="1"/>
      <c r="DXI62" s="1"/>
      <c r="DXJ62" s="1"/>
      <c r="DXK62" s="1"/>
      <c r="DXL62" s="1"/>
      <c r="DXM62" s="1"/>
      <c r="DXP62" s="1"/>
      <c r="DXQ62" s="1"/>
      <c r="DXR62" s="1"/>
      <c r="DXS62" s="1"/>
      <c r="DXT62" s="1"/>
      <c r="DXU62" s="1"/>
      <c r="DXX62" s="1"/>
      <c r="DXY62" s="1"/>
      <c r="DXZ62" s="1"/>
      <c r="DYA62" s="1"/>
      <c r="DYB62" s="1"/>
      <c r="DYC62" s="1"/>
      <c r="DYF62" s="1"/>
      <c r="DYG62" s="1"/>
      <c r="DYH62" s="1"/>
      <c r="DYI62" s="1"/>
      <c r="DYJ62" s="1"/>
      <c r="DYK62" s="1"/>
      <c r="DYN62" s="1"/>
      <c r="DYO62" s="1"/>
      <c r="DYP62" s="1"/>
      <c r="DYQ62" s="1"/>
      <c r="DYR62" s="1"/>
      <c r="DYS62" s="1"/>
      <c r="DYV62" s="1"/>
      <c r="DYW62" s="1"/>
      <c r="DYX62" s="1"/>
      <c r="DYY62" s="1"/>
      <c r="DYZ62" s="1"/>
      <c r="DZA62" s="1"/>
      <c r="DZD62" s="1"/>
      <c r="DZE62" s="1"/>
      <c r="DZF62" s="1"/>
      <c r="DZG62" s="1"/>
      <c r="DZH62" s="1"/>
      <c r="DZI62" s="1"/>
      <c r="DZL62" s="1"/>
      <c r="DZM62" s="1"/>
      <c r="DZN62" s="1"/>
      <c r="DZO62" s="1"/>
      <c r="DZP62" s="1"/>
      <c r="DZQ62" s="1"/>
      <c r="DZT62" s="1"/>
      <c r="DZU62" s="1"/>
      <c r="DZV62" s="1"/>
      <c r="DZW62" s="1"/>
      <c r="DZX62" s="1"/>
      <c r="DZY62" s="1"/>
      <c r="EAB62" s="1"/>
      <c r="EAC62" s="1"/>
      <c r="EAD62" s="1"/>
      <c r="EAE62" s="1"/>
      <c r="EAF62" s="1"/>
      <c r="EAG62" s="1"/>
      <c r="EAJ62" s="1"/>
      <c r="EAK62" s="1"/>
      <c r="EAL62" s="1"/>
      <c r="EAM62" s="1"/>
      <c r="EAN62" s="1"/>
      <c r="EAO62" s="1"/>
      <c r="EAR62" s="1"/>
      <c r="EAS62" s="1"/>
      <c r="EAT62" s="1"/>
      <c r="EAU62" s="1"/>
      <c r="EAV62" s="1"/>
      <c r="EAW62" s="1"/>
      <c r="EAZ62" s="1"/>
      <c r="EBA62" s="1"/>
      <c r="EBB62" s="1"/>
      <c r="EBC62" s="1"/>
      <c r="EBD62" s="1"/>
      <c r="EBE62" s="1"/>
      <c r="EBH62" s="1"/>
      <c r="EBI62" s="1"/>
      <c r="EBJ62" s="1"/>
      <c r="EBK62" s="1"/>
      <c r="EBL62" s="1"/>
      <c r="EBM62" s="1"/>
      <c r="EBP62" s="1"/>
      <c r="EBQ62" s="1"/>
      <c r="EBR62" s="1"/>
      <c r="EBS62" s="1"/>
      <c r="EBT62" s="1"/>
      <c r="EBU62" s="1"/>
      <c r="EBX62" s="1"/>
      <c r="EBY62" s="1"/>
      <c r="EBZ62" s="1"/>
      <c r="ECA62" s="1"/>
      <c r="ECB62" s="1"/>
      <c r="ECC62" s="1"/>
      <c r="ECF62" s="1"/>
      <c r="ECG62" s="1"/>
      <c r="ECH62" s="1"/>
      <c r="ECI62" s="1"/>
      <c r="ECJ62" s="1"/>
      <c r="ECK62" s="1"/>
      <c r="ECN62" s="1"/>
      <c r="ECO62" s="1"/>
      <c r="ECP62" s="1"/>
      <c r="ECQ62" s="1"/>
      <c r="ECR62" s="1"/>
      <c r="ECS62" s="1"/>
      <c r="ECV62" s="1"/>
      <c r="ECW62" s="1"/>
      <c r="ECX62" s="1"/>
      <c r="ECY62" s="1"/>
      <c r="ECZ62" s="1"/>
      <c r="EDA62" s="1"/>
      <c r="EDD62" s="1"/>
      <c r="EDE62" s="1"/>
      <c r="EDF62" s="1"/>
      <c r="EDG62" s="1"/>
      <c r="EDH62" s="1"/>
      <c r="EDI62" s="1"/>
      <c r="EDL62" s="1"/>
      <c r="EDM62" s="1"/>
      <c r="EDN62" s="1"/>
      <c r="EDO62" s="1"/>
      <c r="EDP62" s="1"/>
      <c r="EDQ62" s="1"/>
      <c r="EDT62" s="1"/>
      <c r="EDU62" s="1"/>
      <c r="EDV62" s="1"/>
      <c r="EDW62" s="1"/>
      <c r="EDX62" s="1"/>
      <c r="EDY62" s="1"/>
      <c r="EEB62" s="1"/>
      <c r="EEC62" s="1"/>
      <c r="EED62" s="1"/>
      <c r="EEE62" s="1"/>
      <c r="EEF62" s="1"/>
      <c r="EEG62" s="1"/>
      <c r="EEJ62" s="1"/>
      <c r="EEK62" s="1"/>
      <c r="EEL62" s="1"/>
      <c r="EEM62" s="1"/>
      <c r="EEN62" s="1"/>
      <c r="EEO62" s="1"/>
      <c r="EER62" s="1"/>
      <c r="EES62" s="1"/>
      <c r="EET62" s="1"/>
      <c r="EEU62" s="1"/>
      <c r="EEV62" s="1"/>
      <c r="EEW62" s="1"/>
      <c r="EEZ62" s="1"/>
      <c r="EFA62" s="1"/>
      <c r="EFB62" s="1"/>
      <c r="EFC62" s="1"/>
      <c r="EFD62" s="1"/>
      <c r="EFE62" s="1"/>
      <c r="EFH62" s="1"/>
      <c r="EFI62" s="1"/>
      <c r="EFJ62" s="1"/>
      <c r="EFK62" s="1"/>
      <c r="EFL62" s="1"/>
      <c r="EFM62" s="1"/>
      <c r="EFP62" s="1"/>
      <c r="EFQ62" s="1"/>
      <c r="EFR62" s="1"/>
      <c r="EFS62" s="1"/>
      <c r="EFT62" s="1"/>
      <c r="EFU62" s="1"/>
      <c r="EFX62" s="1"/>
      <c r="EFY62" s="1"/>
      <c r="EFZ62" s="1"/>
      <c r="EGA62" s="1"/>
      <c r="EGB62" s="1"/>
      <c r="EGC62" s="1"/>
      <c r="EGF62" s="1"/>
      <c r="EGG62" s="1"/>
      <c r="EGH62" s="1"/>
      <c r="EGI62" s="1"/>
      <c r="EGJ62" s="1"/>
      <c r="EGK62" s="1"/>
      <c r="EGN62" s="1"/>
      <c r="EGO62" s="1"/>
      <c r="EGP62" s="1"/>
      <c r="EGQ62" s="1"/>
      <c r="EGR62" s="1"/>
      <c r="EGS62" s="1"/>
      <c r="EGV62" s="1"/>
      <c r="EGW62" s="1"/>
      <c r="EGX62" s="1"/>
      <c r="EGY62" s="1"/>
      <c r="EGZ62" s="1"/>
      <c r="EHA62" s="1"/>
      <c r="EHD62" s="1"/>
      <c r="EHE62" s="1"/>
      <c r="EHF62" s="1"/>
      <c r="EHG62" s="1"/>
      <c r="EHH62" s="1"/>
      <c r="EHI62" s="1"/>
      <c r="EHL62" s="1"/>
      <c r="EHM62" s="1"/>
      <c r="EHN62" s="1"/>
      <c r="EHO62" s="1"/>
      <c r="EHP62" s="1"/>
      <c r="EHQ62" s="1"/>
      <c r="EHT62" s="1"/>
      <c r="EHU62" s="1"/>
      <c r="EHV62" s="1"/>
      <c r="EHW62" s="1"/>
      <c r="EHX62" s="1"/>
      <c r="EHY62" s="1"/>
      <c r="EIB62" s="1"/>
      <c r="EIC62" s="1"/>
      <c r="EID62" s="1"/>
      <c r="EIE62" s="1"/>
      <c r="EIF62" s="1"/>
      <c r="EIG62" s="1"/>
      <c r="EIH62" s="1"/>
      <c r="EIJ62" s="1"/>
      <c r="EIK62" s="1"/>
      <c r="EIL62" s="1"/>
      <c r="EIM62" s="1"/>
      <c r="EIN62" s="1"/>
      <c r="EIO62" s="1"/>
      <c r="EIR62" s="1"/>
      <c r="EIS62" s="1"/>
      <c r="EIT62" s="1"/>
      <c r="EIU62" s="1"/>
      <c r="EIV62" s="1"/>
      <c r="EIW62" s="1"/>
      <c r="EIZ62" s="1"/>
      <c r="EJA62" s="1"/>
      <c r="EJB62" s="1"/>
      <c r="EJC62" s="1"/>
      <c r="EJD62" s="1"/>
      <c r="EJE62" s="1"/>
      <c r="EJH62" s="1"/>
      <c r="EJI62" s="1"/>
      <c r="EJJ62" s="1"/>
      <c r="EJK62" s="1"/>
      <c r="EJL62" s="1"/>
      <c r="EJM62" s="1"/>
      <c r="EJP62" s="1"/>
      <c r="EJQ62" s="1"/>
      <c r="EJR62" s="1"/>
      <c r="EJS62" s="1"/>
      <c r="EJT62" s="1"/>
      <c r="EJU62" s="1"/>
      <c r="EJX62" s="1"/>
      <c r="EJY62" s="1"/>
      <c r="EJZ62" s="1"/>
      <c r="EKA62" s="1"/>
      <c r="EKB62" s="1"/>
      <c r="EKC62" s="1"/>
      <c r="EKF62" s="1"/>
      <c r="EKG62" s="1"/>
      <c r="EKH62" s="1"/>
      <c r="EKI62" s="1"/>
      <c r="EKJ62" s="1"/>
      <c r="EKK62" s="1"/>
      <c r="EKN62" s="1"/>
      <c r="EKO62" s="1"/>
      <c r="EKP62" s="1"/>
      <c r="EKQ62" s="1"/>
      <c r="EKR62" s="1"/>
      <c r="EKS62" s="1"/>
      <c r="EKV62" s="663"/>
      <c r="EKW62" s="1"/>
      <c r="EKX62" s="1"/>
      <c r="EKY62" s="1"/>
      <c r="EKZ62" s="1"/>
      <c r="ELA62" s="1"/>
      <c r="ELB62" s="1"/>
      <c r="ELE62" s="1"/>
      <c r="ELF62" s="1"/>
      <c r="ELG62" s="1"/>
      <c r="ELH62" s="1"/>
      <c r="ELI62" s="1"/>
      <c r="ELJ62" s="1"/>
      <c r="ELM62" s="1"/>
      <c r="ELN62" s="1"/>
      <c r="ELO62" s="1"/>
      <c r="ELP62" s="1"/>
      <c r="ELQ62" s="1"/>
      <c r="ELR62" s="1"/>
      <c r="ELU62" s="1"/>
      <c r="ELV62" s="1"/>
      <c r="ELW62" s="1"/>
      <c r="ELX62" s="1"/>
      <c r="ELY62" s="1"/>
      <c r="ELZ62" s="1"/>
      <c r="EMC62" s="1"/>
      <c r="EMD62" s="1"/>
      <c r="EME62" s="1"/>
      <c r="EMF62" s="1"/>
      <c r="EMG62" s="1"/>
      <c r="EMH62" s="1"/>
      <c r="EMK62" s="1"/>
      <c r="EML62" s="1"/>
      <c r="EMM62" s="1"/>
      <c r="EMN62" s="1"/>
      <c r="EMO62" s="1"/>
      <c r="EMP62" s="1"/>
      <c r="EMS62" s="1"/>
      <c r="EMT62" s="1"/>
      <c r="EMU62" s="1"/>
      <c r="EMV62" s="1"/>
      <c r="EMW62" s="1"/>
      <c r="EMX62" s="1"/>
      <c r="ENA62" s="1"/>
      <c r="ENB62" s="1"/>
      <c r="ENC62" s="1"/>
      <c r="END62" s="1"/>
      <c r="ENE62" s="1"/>
      <c r="ENF62" s="1"/>
      <c r="ENI62" s="1"/>
      <c r="ENJ62" s="1"/>
      <c r="ENK62" s="1"/>
      <c r="ENL62" s="1"/>
      <c r="ENM62" s="1"/>
      <c r="ENN62" s="1"/>
      <c r="ENQ62" s="1"/>
      <c r="ENR62" s="1"/>
      <c r="ENS62" s="1"/>
      <c r="ENT62" s="1"/>
      <c r="ENU62" s="1"/>
      <c r="ENV62" s="1"/>
      <c r="ENY62" s="1"/>
      <c r="ENZ62" s="1"/>
      <c r="EOA62" s="1"/>
      <c r="EOB62" s="1"/>
      <c r="EOC62" s="1"/>
      <c r="EOD62" s="1"/>
      <c r="EOG62" s="1"/>
      <c r="EOH62" s="1"/>
      <c r="EOI62" s="1"/>
      <c r="EOJ62" s="1"/>
      <c r="EOK62" s="1"/>
      <c r="EOL62" s="1"/>
      <c r="EOM62" s="1"/>
      <c r="EOO62" s="1"/>
      <c r="EOP62" s="1"/>
      <c r="EOQ62" s="1"/>
      <c r="EOR62" s="1"/>
      <c r="EOS62" s="1"/>
      <c r="EOT62" s="1"/>
      <c r="EOW62" s="1"/>
      <c r="EOX62" s="1"/>
      <c r="EOY62" s="1"/>
      <c r="EOZ62" s="1"/>
      <c r="EPA62" s="1"/>
      <c r="EPB62" s="1"/>
      <c r="EPE62" s="1"/>
      <c r="EPF62" s="1"/>
      <c r="EPG62" s="1"/>
      <c r="EPH62" s="1"/>
      <c r="EPI62" s="1"/>
      <c r="EPJ62" s="1"/>
      <c r="EPM62" s="1"/>
      <c r="EPN62" s="1"/>
      <c r="EPO62" s="1"/>
      <c r="EPP62" s="1"/>
      <c r="EPQ62" s="1"/>
      <c r="EPR62" s="1"/>
      <c r="EPU62" s="1"/>
      <c r="EPV62" s="1"/>
      <c r="EPW62" s="1"/>
      <c r="EPX62" s="1"/>
      <c r="EPY62" s="1"/>
      <c r="EPZ62" s="1"/>
      <c r="EQC62" s="1"/>
      <c r="EQD62" s="1"/>
      <c r="EQE62" s="1"/>
      <c r="EQF62" s="1"/>
      <c r="EQG62" s="1"/>
      <c r="EQH62" s="1"/>
      <c r="EQK62" s="1"/>
      <c r="EQL62" s="1"/>
      <c r="EQM62" s="1"/>
      <c r="EQN62" s="1"/>
      <c r="EQO62" s="1"/>
      <c r="EQP62" s="1"/>
      <c r="EQS62" s="1"/>
      <c r="EQT62" s="1"/>
      <c r="EQU62" s="1"/>
      <c r="EQV62" s="1"/>
      <c r="EQW62" s="1"/>
      <c r="EQX62" s="1"/>
      <c r="ERA62" s="1"/>
      <c r="ERB62" s="1"/>
      <c r="ERC62" s="1"/>
      <c r="ERD62" s="1"/>
      <c r="ERE62" s="1"/>
      <c r="ERF62" s="1"/>
      <c r="ERI62" s="1"/>
      <c r="ERJ62" s="1"/>
      <c r="ERK62" s="1"/>
      <c r="ERL62" s="1"/>
      <c r="ERM62" s="1"/>
      <c r="ERN62" s="1"/>
      <c r="ERQ62" s="1"/>
      <c r="ERR62" s="1"/>
      <c r="ERS62" s="1"/>
      <c r="ERT62" s="1"/>
      <c r="ERU62" s="1"/>
      <c r="ERV62" s="1"/>
      <c r="ERY62" s="1"/>
      <c r="ERZ62" s="1"/>
      <c r="ESA62" s="1"/>
      <c r="ESB62" s="1"/>
      <c r="ESC62" s="1"/>
      <c r="ESD62" s="1"/>
      <c r="ESG62" s="1"/>
      <c r="ESH62" s="1"/>
      <c r="ESI62" s="1"/>
      <c r="ESJ62" s="1"/>
      <c r="ESK62" s="1"/>
      <c r="ESL62" s="1"/>
      <c r="ESO62" s="77"/>
      <c r="ESP62" s="77"/>
      <c r="ESQ62" s="77"/>
      <c r="ESR62" s="77"/>
      <c r="ESS62" s="77"/>
      <c r="EST62" s="77"/>
      <c r="ESW62" s="1"/>
      <c r="ESX62" s="1"/>
      <c r="ESY62" s="1"/>
      <c r="ESZ62" s="1"/>
      <c r="ETA62" s="1"/>
      <c r="ETB62" s="1"/>
      <c r="ETE62" s="1"/>
      <c r="ETF62" s="1"/>
      <c r="ETG62" s="1"/>
      <c r="ETH62" s="1"/>
      <c r="ETI62" s="1"/>
      <c r="ETJ62" s="1"/>
      <c r="ETM62" s="833"/>
      <c r="ETN62" s="833"/>
      <c r="ETO62" s="833"/>
      <c r="ETP62" s="833"/>
      <c r="ETQ62" s="833"/>
      <c r="ETR62" s="833"/>
      <c r="ETU62" s="77"/>
      <c r="ETV62" s="77"/>
      <c r="ETW62" s="77"/>
      <c r="ETX62" s="77"/>
      <c r="ETY62" s="77"/>
      <c r="ETZ62" s="77"/>
      <c r="EUC62" s="77"/>
      <c r="EUD62" s="77"/>
      <c r="EUE62" s="77"/>
      <c r="EUF62" s="77"/>
      <c r="EUG62" s="77"/>
      <c r="EUH62" s="77"/>
      <c r="EUK62" s="1"/>
      <c r="EUL62" s="1"/>
      <c r="EUM62" s="1"/>
      <c r="EUN62" s="1"/>
      <c r="EUO62" s="1"/>
      <c r="EUP62" s="1"/>
      <c r="EUS62" s="1"/>
      <c r="EUT62" s="1"/>
      <c r="EUU62" s="1"/>
      <c r="EUV62" s="1"/>
      <c r="EUW62" s="1"/>
      <c r="EUX62" s="1"/>
      <c r="EVA62" s="1"/>
      <c r="EVB62" s="1"/>
      <c r="EVC62" s="1"/>
      <c r="EVD62" s="1"/>
      <c r="EVE62" s="1"/>
      <c r="EVF62" s="1"/>
      <c r="EVI62" s="1"/>
      <c r="EVJ62" s="1"/>
      <c r="EVK62" s="1"/>
      <c r="EVL62" s="1"/>
      <c r="EVM62" s="1"/>
      <c r="EVN62" s="1"/>
      <c r="EVQ62" s="1"/>
      <c r="EVR62" s="1"/>
      <c r="EVS62" s="1"/>
      <c r="EVT62" s="1"/>
      <c r="EVU62" s="1"/>
      <c r="EVV62" s="1"/>
      <c r="EVY62" s="1"/>
      <c r="EVZ62" s="1"/>
      <c r="EWA62" s="1"/>
      <c r="EWB62" s="1"/>
      <c r="EWC62" s="1"/>
      <c r="EWD62" s="1"/>
      <c r="EWG62" s="1"/>
      <c r="EWH62" s="1"/>
      <c r="EWI62" s="1"/>
      <c r="EWJ62" s="1"/>
      <c r="EWK62" s="1"/>
      <c r="EWL62" s="1"/>
      <c r="EWO62" s="1"/>
      <c r="EWP62" s="1"/>
      <c r="EWQ62" s="1"/>
      <c r="EWR62" s="1"/>
      <c r="EWS62" s="1"/>
      <c r="EWT62" s="1"/>
      <c r="EWW62" s="1"/>
      <c r="EWX62" s="1"/>
      <c r="EWY62" s="1"/>
      <c r="EWZ62" s="1"/>
      <c r="EXA62" s="1"/>
      <c r="EXB62" s="1"/>
      <c r="EXE62" s="1"/>
      <c r="EXF62" s="1"/>
      <c r="EXG62" s="1"/>
      <c r="EXH62" s="1"/>
      <c r="EXI62" s="1"/>
      <c r="EXJ62" s="1"/>
      <c r="EXM62" s="77"/>
      <c r="EXN62" s="77"/>
      <c r="EXO62" s="77"/>
      <c r="EXP62" s="77"/>
      <c r="EXQ62" s="77"/>
      <c r="EXR62" s="77"/>
      <c r="EXU62" s="1"/>
      <c r="EXV62" s="1"/>
      <c r="EXW62" s="1"/>
      <c r="EXX62" s="1"/>
      <c r="EXY62" s="1"/>
      <c r="EXZ62" s="1"/>
      <c r="EYC62" s="1"/>
      <c r="EYD62" s="1"/>
      <c r="EYE62" s="1"/>
      <c r="EYF62" s="1"/>
      <c r="EYG62" s="1"/>
      <c r="EYH62" s="1"/>
      <c r="EYK62" s="1"/>
      <c r="EYL62" s="1"/>
      <c r="EYM62" s="1"/>
      <c r="EYN62" s="1"/>
      <c r="EYO62" s="1"/>
      <c r="EYP62" s="1"/>
      <c r="EYS62" s="1"/>
      <c r="EYT62" s="1"/>
      <c r="EYU62" s="1"/>
      <c r="EYV62" s="1"/>
      <c r="EYW62" s="1"/>
      <c r="EYX62" s="1"/>
      <c r="EZA62" s="1"/>
      <c r="EZB62" s="1"/>
      <c r="EZC62" s="1"/>
      <c r="EZD62" s="1"/>
      <c r="EZE62" s="1"/>
      <c r="EZF62" s="1"/>
      <c r="EZI62" s="1"/>
      <c r="EZJ62" s="1"/>
      <c r="EZK62" s="1"/>
      <c r="EZL62" s="1"/>
      <c r="EZM62" s="1"/>
      <c r="EZN62" s="1"/>
      <c r="EZQ62" s="77"/>
      <c r="EZR62" s="77"/>
      <c r="EZS62" s="77"/>
      <c r="EZT62" s="77"/>
      <c r="EZU62" s="77"/>
      <c r="EZV62" s="77"/>
      <c r="EZY62" s="1"/>
      <c r="EZZ62" s="1"/>
      <c r="FAA62" s="1"/>
      <c r="FAB62" s="1"/>
      <c r="FAC62" s="1"/>
      <c r="FAD62" s="1"/>
    </row>
    <row r="63" spans="1:4088" s="8" customFormat="1" x14ac:dyDescent="0.2">
      <c r="A63" s="1008"/>
      <c r="B63" s="1008"/>
      <c r="C63" s="1008"/>
      <c r="D63" s="469">
        <v>40</v>
      </c>
      <c r="E63" s="225">
        <f>E60+E61</f>
        <v>0</v>
      </c>
      <c r="F63" s="225">
        <f t="shared" ref="F63:X63" si="2440">F60+F61</f>
        <v>3730</v>
      </c>
      <c r="G63" s="225">
        <f t="shared" si="2440"/>
        <v>0</v>
      </c>
      <c r="H63" s="225">
        <f t="shared" si="2440"/>
        <v>0</v>
      </c>
      <c r="I63" s="225">
        <f t="shared" si="2440"/>
        <v>0</v>
      </c>
      <c r="J63" s="225">
        <f t="shared" si="2440"/>
        <v>0</v>
      </c>
      <c r="K63" s="225">
        <f t="shared" si="2440"/>
        <v>0</v>
      </c>
      <c r="L63" s="225">
        <f t="shared" si="2440"/>
        <v>3730</v>
      </c>
      <c r="M63" s="225">
        <f t="shared" si="2440"/>
        <v>3730</v>
      </c>
      <c r="N63" s="225">
        <f t="shared" si="2440"/>
        <v>0</v>
      </c>
      <c r="O63" s="225">
        <f t="shared" si="2440"/>
        <v>0</v>
      </c>
      <c r="P63" s="225">
        <f t="shared" si="2440"/>
        <v>0</v>
      </c>
      <c r="Q63" s="225">
        <f t="shared" si="2440"/>
        <v>0</v>
      </c>
      <c r="R63" s="225">
        <f t="shared" si="2440"/>
        <v>0</v>
      </c>
      <c r="S63" s="225">
        <f t="shared" si="2440"/>
        <v>0</v>
      </c>
      <c r="T63" s="225">
        <f t="shared" si="2440"/>
        <v>0</v>
      </c>
      <c r="U63" s="225">
        <f t="shared" si="2440"/>
        <v>0</v>
      </c>
      <c r="V63" s="225">
        <f t="shared" si="2440"/>
        <v>0</v>
      </c>
      <c r="W63" s="225">
        <f t="shared" si="2440"/>
        <v>2</v>
      </c>
      <c r="X63" s="225">
        <f t="shared" si="2440"/>
        <v>0</v>
      </c>
      <c r="Y63" s="225"/>
      <c r="Z63" s="225"/>
      <c r="AA63" s="225"/>
      <c r="AB63" s="225"/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69"/>
      <c r="ZY63" s="58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1"/>
      <c r="AWO63" s="1"/>
      <c r="AWP63" s="1"/>
      <c r="AWQ63" s="1"/>
      <c r="AWR63" s="1"/>
      <c r="AWS63" s="1"/>
      <c r="AWT63" s="9"/>
      <c r="AWU63" s="122"/>
      <c r="AWV63" s="1"/>
      <c r="AWW63" s="1"/>
      <c r="AWX63" s="1"/>
      <c r="AWY63" s="1"/>
      <c r="AWZ63" s="1"/>
      <c r="AXA63" s="1"/>
      <c r="AXB63" s="9"/>
      <c r="AXC63" s="122"/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  <c r="EZY63" s="1"/>
      <c r="EZZ63" s="1"/>
      <c r="FAA63" s="1"/>
      <c r="FAB63" s="1"/>
      <c r="FAC63" s="1"/>
      <c r="FAD63" s="1"/>
    </row>
    <row r="64" spans="1:4088" x14ac:dyDescent="0.2">
      <c r="A64" s="12" t="s">
        <v>25</v>
      </c>
      <c r="B64" s="12"/>
      <c r="C64" s="25"/>
      <c r="X64" s="2"/>
    </row>
    <row r="65" spans="1:29" ht="12" customHeight="1" x14ac:dyDescent="0.2">
      <c r="A65" s="306" t="s">
        <v>267</v>
      </c>
      <c r="B65" s="306"/>
      <c r="C65" s="25"/>
      <c r="X65" s="2"/>
      <c r="Y65" s="2"/>
      <c r="Z65" s="2"/>
      <c r="AA65" s="2"/>
      <c r="AB65" s="2"/>
      <c r="AC65" s="656"/>
    </row>
    <row r="66" spans="1:29" x14ac:dyDescent="0.2">
      <c r="A66" s="306" t="s">
        <v>268</v>
      </c>
      <c r="B66" s="306"/>
      <c r="C66" s="25"/>
      <c r="X66" s="2"/>
      <c r="Y66" s="2"/>
      <c r="Z66" s="2"/>
      <c r="AA66" s="2"/>
      <c r="AB66" s="10"/>
      <c r="AC66" s="654"/>
    </row>
    <row r="68" spans="1:29" x14ac:dyDescent="0.2">
      <c r="C68" s="2"/>
      <c r="G68" s="10"/>
      <c r="H68" s="208"/>
    </row>
    <row r="69" spans="1:29" x14ac:dyDescent="0.2">
      <c r="G69" s="10"/>
      <c r="H69" s="208"/>
    </row>
    <row r="70" spans="1:29" x14ac:dyDescent="0.2">
      <c r="F70" s="44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</sheetData>
  <mergeCells count="59">
    <mergeCell ref="A62:C63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G28:H28"/>
    <mergeCell ref="I5:J5"/>
    <mergeCell ref="E5:F5"/>
    <mergeCell ref="G5:H5"/>
    <mergeCell ref="A27:M27"/>
    <mergeCell ref="B5:B6"/>
    <mergeCell ref="B28:B29"/>
    <mergeCell ref="E28:F28"/>
    <mergeCell ref="A4:M4"/>
    <mergeCell ref="O5:O6"/>
    <mergeCell ref="A22:C22"/>
    <mergeCell ref="C5:C6"/>
    <mergeCell ref="D5:D6"/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</mergeCells>
  <phoneticPr fontId="50" type="noConversion"/>
  <conditionalFormatting sqref="Q7:Q21 Q30:Q61">
    <cfRule type="cellIs" dxfId="30" priority="14" operator="greaterThan">
      <formula>25</formula>
    </cfRule>
    <cfRule type="cellIs" dxfId="29" priority="15" operator="lessThan">
      <formula>15</formula>
    </cfRule>
    <cfRule type="cellIs" dxfId="28" priority="16" operator="between">
      <formula>15</formula>
      <formula>25</formula>
    </cfRule>
  </conditionalFormatting>
  <conditionalFormatting sqref="T7:T21 T30:T61">
    <cfRule type="cellIs" dxfId="27" priority="23" operator="between">
      <formula>25</formula>
      <formula>27</formula>
    </cfRule>
    <cfRule type="cellIs" dxfId="26" priority="24" operator="lessThan">
      <formula>25</formula>
    </cfRule>
    <cfRule type="cellIs" dxfId="25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NF47"/>
  <sheetViews>
    <sheetView zoomScaleNormal="100" workbookViewId="0">
      <pane xSplit="4" ySplit="1" topLeftCell="E6" activePane="bottomRight" state="frozen"/>
      <selection pane="topRight" activeCell="D1" sqref="D1"/>
      <selection pane="bottomLeft" activeCell="A2" sqref="A2"/>
      <selection pane="bottomRight" activeCell="J11" sqref="J11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hidden="1" customWidth="1"/>
    <col min="3741" max="3742" width="6.7109375" style="1" hidden="1" customWidth="1"/>
    <col min="3743" max="3748" width="5.7109375" style="1" customWidth="1"/>
    <col min="3749" max="3750" width="6.7109375" style="1" customWidth="1"/>
    <col min="3751" max="16384" width="9.140625" style="1"/>
  </cols>
  <sheetData>
    <row r="1" spans="1:3750" ht="18.75" x14ac:dyDescent="0.2">
      <c r="A1" s="979" t="s">
        <v>0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979"/>
      <c r="X1" s="979"/>
      <c r="Y1" s="979"/>
      <c r="Z1" s="979"/>
      <c r="AA1" s="979"/>
      <c r="AB1" s="979"/>
      <c r="AC1" s="20"/>
    </row>
    <row r="2" spans="1:3750" ht="18.75" x14ac:dyDescent="0.2">
      <c r="A2" s="979" t="s">
        <v>229</v>
      </c>
      <c r="B2" s="979"/>
      <c r="C2" s="979"/>
      <c r="D2" s="979"/>
      <c r="E2" s="979"/>
      <c r="F2" s="979"/>
      <c r="G2" s="979"/>
      <c r="H2" s="979"/>
      <c r="I2" s="979"/>
      <c r="J2" s="979"/>
      <c r="K2" s="979"/>
      <c r="L2" s="979"/>
      <c r="M2" s="979"/>
      <c r="N2" s="979"/>
      <c r="O2" s="979"/>
      <c r="P2" s="979"/>
      <c r="Q2" s="979"/>
      <c r="R2" s="979"/>
      <c r="S2" s="979"/>
      <c r="T2" s="979"/>
      <c r="U2" s="979"/>
      <c r="V2" s="979"/>
      <c r="W2" s="979"/>
      <c r="X2" s="979"/>
      <c r="Y2" s="20"/>
      <c r="Z2" s="20"/>
      <c r="AA2" s="20"/>
      <c r="AB2" s="20"/>
      <c r="AC2" s="20"/>
    </row>
    <row r="3" spans="1:375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27" t="str">
        <f>HIGRO!X8</f>
        <v>Date(Ngày): 14/05/2026</v>
      </c>
      <c r="X3" s="927"/>
      <c r="Y3" s="20"/>
      <c r="Z3" s="20"/>
      <c r="AB3" s="3"/>
      <c r="AC3" s="4"/>
    </row>
    <row r="4" spans="1:3750" s="5" customFormat="1" ht="24" customHeight="1" thickBot="1" x14ac:dyDescent="0.25">
      <c r="A4" s="1011" t="s">
        <v>271</v>
      </c>
      <c r="B4" s="1012"/>
      <c r="C4" s="1012"/>
      <c r="D4" s="1012"/>
      <c r="E4" s="1012"/>
      <c r="F4" s="1012"/>
      <c r="G4" s="1012"/>
      <c r="H4" s="1012"/>
      <c r="I4" s="1012"/>
      <c r="J4" s="1012"/>
      <c r="K4" s="1012"/>
      <c r="L4" s="1012"/>
      <c r="M4" s="1013"/>
      <c r="N4" s="928" t="s">
        <v>252</v>
      </c>
      <c r="O4" s="929"/>
      <c r="P4" s="949" t="s">
        <v>255</v>
      </c>
      <c r="Q4" s="950"/>
      <c r="R4" s="950"/>
      <c r="S4" s="950"/>
      <c r="T4" s="950"/>
      <c r="U4" s="980" t="s">
        <v>260</v>
      </c>
      <c r="V4" s="983" t="s">
        <v>259</v>
      </c>
      <c r="W4" s="986" t="s">
        <v>265</v>
      </c>
      <c r="X4" s="989" t="s">
        <v>262</v>
      </c>
      <c r="Y4" s="991" t="s">
        <v>1</v>
      </c>
      <c r="Z4" s="992"/>
      <c r="AA4" s="992"/>
      <c r="AB4" s="993"/>
      <c r="AC4" s="978" t="s">
        <v>327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50" s="6" customFormat="1" ht="30.75" customHeight="1" thickBot="1" x14ac:dyDescent="0.25">
      <c r="A5" s="989" t="s">
        <v>248</v>
      </c>
      <c r="B5" s="983" t="s">
        <v>249</v>
      </c>
      <c r="C5" s="1001" t="s">
        <v>250</v>
      </c>
      <c r="D5" s="989" t="s">
        <v>251</v>
      </c>
      <c r="E5" s="919" t="s">
        <v>232</v>
      </c>
      <c r="F5" s="920"/>
      <c r="G5" s="917" t="s">
        <v>233</v>
      </c>
      <c r="H5" s="918"/>
      <c r="I5" s="917" t="s">
        <v>234</v>
      </c>
      <c r="J5" s="918"/>
      <c r="K5" s="908" t="s">
        <v>235</v>
      </c>
      <c r="L5" s="909"/>
      <c r="M5" s="910"/>
      <c r="N5" s="933" t="s">
        <v>254</v>
      </c>
      <c r="O5" s="933" t="s">
        <v>253</v>
      </c>
      <c r="P5" s="954" t="s">
        <v>256</v>
      </c>
      <c r="Q5" s="954" t="s">
        <v>253</v>
      </c>
      <c r="R5" s="951" t="s">
        <v>257</v>
      </c>
      <c r="S5" s="316"/>
      <c r="T5" s="953" t="s">
        <v>258</v>
      </c>
      <c r="U5" s="981"/>
      <c r="V5" s="984"/>
      <c r="W5" s="987"/>
      <c r="X5" s="990"/>
      <c r="Y5" s="994" t="s">
        <v>10</v>
      </c>
      <c r="Z5" s="994" t="s">
        <v>11</v>
      </c>
      <c r="AA5" s="994" t="s">
        <v>12</v>
      </c>
      <c r="AB5" s="994" t="s">
        <v>18</v>
      </c>
      <c r="AC5" s="978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  <c r="ENF5" s="44">
        <v>6</v>
      </c>
    </row>
    <row r="6" spans="1:3750" s="6" customFormat="1" ht="39" thickBot="1" x14ac:dyDescent="0.25">
      <c r="A6" s="990"/>
      <c r="B6" s="1003"/>
      <c r="C6" s="1002"/>
      <c r="D6" s="990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35"/>
      <c r="O6" s="935"/>
      <c r="P6" s="955"/>
      <c r="Q6" s="955"/>
      <c r="R6" s="952"/>
      <c r="S6" s="316"/>
      <c r="T6" s="953"/>
      <c r="U6" s="982"/>
      <c r="V6" s="985"/>
      <c r="W6" s="988"/>
      <c r="X6" s="990"/>
      <c r="Y6" s="1007"/>
      <c r="Z6" s="995"/>
      <c r="AA6" s="995"/>
      <c r="AB6" s="995"/>
      <c r="AC6" s="978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  <c r="EMY6" s="339">
        <v>12</v>
      </c>
      <c r="EMZ6" s="340">
        <v>13</v>
      </c>
      <c r="ENA6" s="340">
        <v>14</v>
      </c>
      <c r="ENB6" s="340">
        <v>15</v>
      </c>
      <c r="ENC6" s="340">
        <v>16</v>
      </c>
      <c r="END6" s="340">
        <v>17</v>
      </c>
      <c r="ENE6" s="870" t="s">
        <v>263</v>
      </c>
      <c r="ENF6" s="871" t="s">
        <v>264</v>
      </c>
    </row>
    <row r="7" spans="1:3750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  <c r="EMY7" s="346"/>
      <c r="EMZ7" s="343"/>
      <c r="ENA7" s="343"/>
      <c r="ENB7" s="343"/>
      <c r="ENC7" s="343"/>
      <c r="END7" s="343"/>
      <c r="ENE7" s="872">
        <f t="shared" ref="ENE7" si="223">SUM(EMY7:END7)</f>
        <v>0</v>
      </c>
      <c r="ENF7" s="873">
        <f>ENE7/$ENF$5</f>
        <v>0</v>
      </c>
    </row>
    <row r="8" spans="1:3750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2974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4">F8+H8-J8</f>
        <v>2974</v>
      </c>
      <c r="M8" s="15">
        <f t="shared" si="1"/>
        <v>2974</v>
      </c>
      <c r="N8" s="443">
        <v>114</v>
      </c>
      <c r="O8" s="276">
        <f t="shared" si="2"/>
        <v>26.087719298245613</v>
      </c>
      <c r="P8" s="277">
        <f t="shared" ref="P8" si="225">S8/$Q$3</f>
        <v>160</v>
      </c>
      <c r="Q8" s="276">
        <f t="shared" si="3"/>
        <v>111.52499999999999</v>
      </c>
      <c r="R8" s="277">
        <f t="shared" ref="R8:R14" si="226">S8/$S$3</f>
        <v>36.92307692307692</v>
      </c>
      <c r="S8" s="222">
        <v>960</v>
      </c>
      <c r="T8" s="276">
        <f t="shared" si="4"/>
        <v>80.545833333333334</v>
      </c>
      <c r="U8" s="442"/>
      <c r="V8" s="302">
        <f t="shared" si="5"/>
        <v>80.545833333333334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7">SUM(CNF8:CNK8)</f>
        <v>0</v>
      </c>
      <c r="CNM8" s="68">
        <f t="shared" ref="CNM8:CNM16" si="228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9">SUM(CNN8:CNS8)</f>
        <v>309</v>
      </c>
      <c r="CNU8" s="68">
        <f t="shared" ref="CNU8:CNU16" si="230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1">SUM(CNV8:COA8)</f>
        <v>0</v>
      </c>
      <c r="COC8" s="68">
        <f t="shared" ref="COC8:COC16" si="232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3">SUM(COD8:COI8)</f>
        <v>326</v>
      </c>
      <c r="COK8" s="68">
        <f t="shared" ref="COK8:COK16" si="234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5">SUM(COL8:COQ8)</f>
        <v>0</v>
      </c>
      <c r="COS8" s="68">
        <f t="shared" ref="COS8:COS16" si="236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7">SUM(COT8:COY8)</f>
        <v>0</v>
      </c>
      <c r="CPA8" s="68">
        <f t="shared" ref="CPA8:CPA16" si="238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9">SUM(CPB8:CPG8)</f>
        <v>0</v>
      </c>
      <c r="CPI8" s="68">
        <f t="shared" ref="CPI8:CPI16" si="240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1">SUM(CPJ8:CPO8)</f>
        <v>351</v>
      </c>
      <c r="CPQ8" s="68">
        <f t="shared" ref="CPQ8:CPQ16" si="242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3">SUM(CPR8:CPW8)</f>
        <v>0</v>
      </c>
      <c r="CPY8" s="68">
        <f t="shared" ref="CPY8:CPY16" si="244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5">SUM(CPZ8:CQE8)</f>
        <v>0</v>
      </c>
      <c r="CQG8" s="68">
        <f t="shared" ref="CQG8:CQG16" si="246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7">SUM(CQH8:CQM8)</f>
        <v>345</v>
      </c>
      <c r="CQO8" s="43">
        <f t="shared" ref="CQO8:CQO16" si="248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9">SUM(CQP8:CQU8)</f>
        <v>0</v>
      </c>
      <c r="CQW8" s="43">
        <f t="shared" ref="CQW8:CQW16" si="250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1">SUM(CQX8:CRC8)</f>
        <v>0</v>
      </c>
      <c r="CRE8" s="43">
        <f t="shared" ref="CRE8:CRE16" si="252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3">SUM(DJZ8:DKE8)</f>
        <v>347</v>
      </c>
      <c r="DKG8" s="68">
        <f t="shared" ref="DKG8:DKG16" si="254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5">SUM(DKH8:DKM8)</f>
        <v>0</v>
      </c>
      <c r="DKO8" s="68">
        <f t="shared" ref="DKO8:DKO16" si="256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7">SUM(DKP8:DKU8)</f>
        <v>337</v>
      </c>
      <c r="DKW8" s="68">
        <f t="shared" ref="DKW8:DKW16" si="258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9">SUM(DKX8:DLC8)</f>
        <v>350</v>
      </c>
      <c r="DLE8" s="68">
        <f t="shared" ref="DLE8:DLE16" si="260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1">SUM(DLF8:DLK8)</f>
        <v>0</v>
      </c>
      <c r="DLM8" s="68">
        <f t="shared" ref="DLM8:DLM16" si="262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3">SUM(DLN8:DLS8)</f>
        <v>342</v>
      </c>
      <c r="DLU8" s="68">
        <f t="shared" ref="DLU8:DLU16" si="264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5">SUM(DLV8:DMA8)</f>
        <v>0</v>
      </c>
      <c r="DMC8" s="68">
        <f t="shared" ref="DMC8:DMC16" si="266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7">SUM(DMD8:DMI8)</f>
        <v>333</v>
      </c>
      <c r="DMK8" s="68">
        <f t="shared" ref="DMK8:DMK16" si="268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9">SUM(DML8:DMQ8)</f>
        <v>349</v>
      </c>
      <c r="DMS8" s="68">
        <f t="shared" ref="DMS8:DMS16" si="270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1">SUM(DMT8:DMY8)</f>
        <v>354</v>
      </c>
      <c r="DNA8" s="68">
        <f t="shared" ref="DNA8:DNA16" si="272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3">SUM(DNB8:DNG8)</f>
        <v>0</v>
      </c>
      <c r="DNI8" s="68">
        <f t="shared" ref="DNI8:DNI16" si="274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5">SUM(DNJ8:DNO8)</f>
        <v>346</v>
      </c>
      <c r="DNQ8" s="68">
        <f t="shared" ref="DNQ8:DNQ16" si="276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7">SUM(DNR8:DNW8)</f>
        <v>690</v>
      </c>
      <c r="DNY8" s="68">
        <f t="shared" ref="DNY8:DNY16" si="278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9">SUM(DNZ8:DOE8)</f>
        <v>0</v>
      </c>
      <c r="DOG8" s="68">
        <f t="shared" ref="DOG8:DOG16" si="280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1">SUM(DOH8:DOM8)</f>
        <v>641</v>
      </c>
      <c r="DOO8" s="68">
        <f t="shared" ref="DOO8:DOO16" si="282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3">SUM(DOP8:DOU8)</f>
        <v>0</v>
      </c>
      <c r="DOW8" s="68">
        <f t="shared" ref="DOW8:DOW16" si="284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5">SUM(DOX8:DPC8)</f>
        <v>343</v>
      </c>
      <c r="DPE8" s="68">
        <f t="shared" ref="DPE8:DPE16" si="286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7">SUM(DPF8:DPK8)</f>
        <v>696</v>
      </c>
      <c r="DPM8" s="68">
        <f t="shared" ref="DPM8:DPM16" si="288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9">SUM(DPN8:DPS8)</f>
        <v>416</v>
      </c>
      <c r="DPU8" s="68">
        <f t="shared" ref="DPU8:DPU16" si="290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1">SUM(DPV8:DQA8)</f>
        <v>670</v>
      </c>
      <c r="DQC8" s="68">
        <f t="shared" ref="DQC8:DQC16" si="292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3">SUM(DQD8:DQI8)</f>
        <v>333</v>
      </c>
      <c r="DQK8" s="68">
        <f t="shared" ref="DQK8:DQK16" si="294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5">SUM(DQL8:DQQ8)</f>
        <v>697</v>
      </c>
      <c r="DQS8" s="68">
        <f t="shared" ref="DQS8:DQS16" si="296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7">SUM(DQT8:DQY8)</f>
        <v>685</v>
      </c>
      <c r="DRA8" s="68">
        <f t="shared" ref="DRA8:DRA16" si="298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9">SUM(DRB8:DRG8)</f>
        <v>1033</v>
      </c>
      <c r="DRI8" s="68">
        <f t="shared" ref="DRI8:DRI16" si="300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1">SUM(DRJ8:DRO8)</f>
        <v>345</v>
      </c>
      <c r="DRQ8" s="68">
        <f t="shared" ref="DRQ8:DRQ16" si="302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3">SUM(DRR8:DRW8)</f>
        <v>686</v>
      </c>
      <c r="DRY8" s="68">
        <f t="shared" ref="DRY8:DRY16" si="304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5">SUM(DRZ8:DSE8)</f>
        <v>695</v>
      </c>
      <c r="DSG8" s="68">
        <f t="shared" ref="DSG8:DSG16" si="306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7">SUM(DSH8:DSM8)</f>
        <v>236</v>
      </c>
      <c r="DSO8" s="68">
        <f t="shared" ref="DSO8:DSO16" si="308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9">SUM(DSP8:DSU8)</f>
        <v>352</v>
      </c>
      <c r="DSW8" s="68">
        <f t="shared" ref="DSW8:DSW16" si="310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1">SUM(DSX8:DTC8)</f>
        <v>1029</v>
      </c>
      <c r="DTE8" s="68">
        <f t="shared" ref="DTE8:DTE16" si="312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3">SUM(DTF8:DTK8)</f>
        <v>0</v>
      </c>
      <c r="DTM8" s="68">
        <f t="shared" ref="DTM8:DTM16" si="314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5">SUM(DTN8:DTS8)</f>
        <v>679</v>
      </c>
      <c r="DTU8" s="68">
        <f t="shared" ref="DTU8:DTU16" si="316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7">SUM(DTV8:DUA8)</f>
        <v>346</v>
      </c>
      <c r="DUC8" s="68">
        <f t="shared" ref="DUC8:DUC16" si="318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9">SUM(DUD8:DUI8)</f>
        <v>690</v>
      </c>
      <c r="DUK8" s="68">
        <f t="shared" ref="DUK8:DUK16" si="320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1">SUM(DUL8:DUQ8)</f>
        <v>0</v>
      </c>
      <c r="DUS8" s="68">
        <f t="shared" ref="DUS8:DUS16" si="322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3">SUM(DUT8:DUY8)</f>
        <v>1001</v>
      </c>
      <c r="DVA8" s="68">
        <f t="shared" ref="DVA8:DVA16" si="324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5">SUM(DVB8:DVG8)</f>
        <v>0</v>
      </c>
      <c r="DVI8" s="68">
        <f t="shared" ref="DVI8:DVI16" si="326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7">SUM(DVJ8:DVO8)</f>
        <v>712</v>
      </c>
      <c r="DVQ8" s="68">
        <f t="shared" ref="DVQ8:DVQ16" si="328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9">SUM(DVR8:DVW8)</f>
        <v>349</v>
      </c>
      <c r="DVY8" s="68">
        <f t="shared" ref="DVY8:DVY16" si="330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1">SUM(DVZ8:DWE8)</f>
        <v>0</v>
      </c>
      <c r="DWG8" s="68">
        <f t="shared" ref="DWG8:DWG16" si="332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3">SUM(DWH8:DWM8)</f>
        <v>341</v>
      </c>
      <c r="DWO8" s="68">
        <f t="shared" ref="DWO8:DWO16" si="334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5">SUM(DWP8:DWU8)</f>
        <v>0</v>
      </c>
      <c r="DWW8" s="68">
        <f t="shared" ref="DWW8:DWW16" si="336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7">SUM(DWX8:DXC8)</f>
        <v>665</v>
      </c>
      <c r="DXE8" s="68">
        <f t="shared" ref="DXE8:DXE16" si="338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9">SUM(DXF8:DXK8)</f>
        <v>341</v>
      </c>
      <c r="DXM8" s="68">
        <f t="shared" ref="DXM8:DXM16" si="340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1">SUM(DXN8:DXS8)</f>
        <v>713</v>
      </c>
      <c r="DXU8" s="184">
        <f t="shared" ref="DXU8:DXU16" si="342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3">SUM(DXW8:DYB8)</f>
        <v>711</v>
      </c>
      <c r="DYD8" s="211">
        <f t="shared" ref="DYD8:DYD16" si="344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5">SUM(DYE8:DYJ8)</f>
        <v>345</v>
      </c>
      <c r="DYL8" s="211">
        <f t="shared" ref="DYL8:DYL16" si="346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7">SUM(DYM8:DYR8)</f>
        <v>694</v>
      </c>
      <c r="DYT8" s="211">
        <f t="shared" ref="DYT8:DYT16" si="348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9">SUM(DYU8:DYZ8)</f>
        <v>1058</v>
      </c>
      <c r="DZB8" s="211">
        <f t="shared" ref="DZB8:DZB16" si="350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1">SUM(DZC8:DZH8)</f>
        <v>0</v>
      </c>
      <c r="DZJ8" s="211">
        <f t="shared" ref="DZJ8:DZJ16" si="352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3">SUM(DZK8:DZP8)</f>
        <v>681</v>
      </c>
      <c r="DZR8" s="211">
        <f t="shared" ref="DZR8:DZR16" si="354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5">SUM(DZS8:DZX8)</f>
        <v>308</v>
      </c>
      <c r="DZZ8" s="211">
        <f t="shared" ref="DZZ8:DZZ16" si="356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7">SUM(EAA8:EAF8)</f>
        <v>354</v>
      </c>
      <c r="EAH8" s="211">
        <f t="shared" ref="EAH8:EAH16" si="358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9">SUM(EAI8:EAN8)</f>
        <v>666</v>
      </c>
      <c r="EAP8" s="211">
        <f t="shared" ref="EAP8:EAP16" si="360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1">SUM(EAQ8:EAV8)</f>
        <v>344</v>
      </c>
      <c r="EAX8" s="211">
        <f t="shared" ref="EAX8:EAX16" si="362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3">SUM(EAY8:EBD8)</f>
        <v>669</v>
      </c>
      <c r="EBF8" s="211">
        <f t="shared" ref="EBF8:EBF16" si="364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5">SUM(EBG8:EBL8)</f>
        <v>345</v>
      </c>
      <c r="EBN8" s="211">
        <f t="shared" ref="EBN8:EBN16" si="366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7">SUM(EBO8:EBT8)</f>
        <v>691</v>
      </c>
      <c r="EBV8" s="184">
        <f t="shared" ref="EBV8:EBV16" si="368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9">SUM(EBW8:ECB8)</f>
        <v>1018</v>
      </c>
      <c r="ECD8" s="211">
        <f t="shared" ref="ECD8:ECD17" si="370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1">SUM(ECE8:ECJ8)</f>
        <v>0</v>
      </c>
      <c r="ECL8" s="211">
        <f t="shared" ref="ECL8:ECL17" si="372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3">SUM(ECM8:ECR8)</f>
        <v>348</v>
      </c>
      <c r="ECT8" s="211">
        <f t="shared" ref="ECT8:ECT17" si="374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5">SUM(ECU8:ECZ8)</f>
        <v>692</v>
      </c>
      <c r="EDB8" s="211">
        <f t="shared" ref="EDB8:EDB17" si="376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7">SUM(EDC8:EDH8)</f>
        <v>669</v>
      </c>
      <c r="EDJ8" s="211">
        <f t="shared" ref="EDJ8:EDJ17" si="378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9">SUM(EDK8:EDP8)</f>
        <v>331</v>
      </c>
      <c r="EDR8" s="211">
        <f t="shared" ref="EDR8:EDR17" si="380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1">SUM(EDS8:EDX8)</f>
        <v>342</v>
      </c>
      <c r="EDZ8" s="707">
        <f t="shared" ref="EDZ8:EDZ17" si="382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3">SUM(EEA8:EEF8)</f>
        <v>1062</v>
      </c>
      <c r="EEH8" s="211">
        <f t="shared" ref="EEH8:EEH17" si="384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5">SUM(EEI8:EEN8)</f>
        <v>0</v>
      </c>
      <c r="EEP8" s="211">
        <f t="shared" ref="EEP8:EEP17" si="386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7">SUM(EEQ8:EEV8)</f>
        <v>691</v>
      </c>
      <c r="EEX8" s="211">
        <f t="shared" ref="EEX8:EEX17" si="388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9">SUM(EEY8:EFD8)</f>
        <v>702</v>
      </c>
      <c r="EFF8" s="211">
        <f t="shared" ref="EFF8:EFF17" si="390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1">SUM(EFG8:EFL8)</f>
        <v>344</v>
      </c>
      <c r="EFN8" s="211">
        <f t="shared" ref="EFN8:EFN17" si="392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3">SUM(EFO8:EFT8)</f>
        <v>357</v>
      </c>
      <c r="EFV8" s="211">
        <f t="shared" ref="EFV8:EFV17" si="394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5">SUM(EFW8:EGB8)</f>
        <v>685</v>
      </c>
      <c r="EGD8" s="211">
        <f t="shared" ref="EGD8:EGD17" si="396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7">SUM(EGE8:EGJ8)</f>
        <v>339</v>
      </c>
      <c r="EGL8" s="211">
        <f t="shared" ref="EGL8:EGL17" si="398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9">SUM(EGM8:EGR8)</f>
        <v>340</v>
      </c>
      <c r="EGT8" s="211">
        <f t="shared" ref="EGT8:EGT17" si="400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1">SUM(EGU8:EGZ8)</f>
        <v>692</v>
      </c>
      <c r="EHB8" s="211">
        <f t="shared" ref="EHB8:EHB17" si="402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3">SUM(EHC8:EHH8)</f>
        <v>679</v>
      </c>
      <c r="EHJ8" s="211">
        <f t="shared" ref="EHJ8:EHJ17" si="404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5">SUM(EHK8:EHP8)</f>
        <v>668</v>
      </c>
      <c r="EHR8" s="211">
        <f t="shared" ref="EHR8:EHR17" si="406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7">SUM(EHS8:EHX8)</f>
        <v>0</v>
      </c>
      <c r="EHZ8" s="211">
        <f t="shared" ref="EHZ8:EHZ17" si="408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9">SUM(EIA8:EIF8)</f>
        <v>681</v>
      </c>
      <c r="EIH8" s="211">
        <f t="shared" ref="EIH8:EIH16" si="410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1">SUM(EII8:EIN8)</f>
        <v>685</v>
      </c>
      <c r="EIP8" s="211">
        <f t="shared" ref="EIP8:EIP16" si="412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3">SUM(EIQ8:EIV8)</f>
        <v>300</v>
      </c>
      <c r="EIX8" s="271">
        <f t="shared" ref="EIX8:EIX16" si="414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5">SUM(EIY8:EJD8)</f>
        <v>0</v>
      </c>
      <c r="EJF8" s="211">
        <f t="shared" ref="EJF8:EJF16" si="416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7">SUM(EJG8:EJL8)</f>
        <v>770</v>
      </c>
      <c r="EJN8" s="211">
        <f t="shared" ref="EJN8:EJN16" si="418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9">SUM(EJO8:EJT8)</f>
        <v>347</v>
      </c>
      <c r="EJV8" s="211">
        <f t="shared" ref="EJV8:EJV16" si="420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1">SUM(EJW8:EKB8)</f>
        <v>690</v>
      </c>
      <c r="EKD8" s="211">
        <f t="shared" ref="EKD8:EKD16" si="422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3">SUM(EKE8:EKJ8)</f>
        <v>0</v>
      </c>
      <c r="EKL8" s="211">
        <f t="shared" ref="EKL8:EKL16" si="424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5">SUM(EKM8:EKR8)</f>
        <v>683</v>
      </c>
      <c r="EKT8" s="211">
        <f t="shared" ref="EKT8:EKT16" si="426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7">SUM(EKU8:EKZ8)</f>
        <v>642</v>
      </c>
      <c r="ELB8" s="211">
        <f t="shared" ref="ELB8:ELB16" si="428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9">SUM(ELC8:ELH8)</f>
        <v>235</v>
      </c>
      <c r="ELJ8" s="211">
        <f t="shared" ref="ELJ8:ELJ16" si="430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1">SUM(ELK8:ELP8)</f>
        <v>678</v>
      </c>
      <c r="ELR8" s="211">
        <f t="shared" ref="ELR8:ELR16" si="432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3">SUM(ELS8:ELX8)</f>
        <v>344</v>
      </c>
      <c r="ELZ8" s="873">
        <f t="shared" ref="ELZ8:ELZ16" si="434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5">SUM(EMA8:EMF8)</f>
        <v>1370</v>
      </c>
      <c r="EMH8" s="873">
        <f t="shared" ref="EMH8:EMH16" si="436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7">SUM(EMI8:EMN8)</f>
        <v>0</v>
      </c>
      <c r="EMP8" s="873">
        <f t="shared" ref="EMP8:EMP16" si="438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9">SUM(EMQ8:EMV8)</f>
        <v>684</v>
      </c>
      <c r="EMX8" s="873">
        <f t="shared" ref="EMX8:EMX16" si="440">EMW8/$EMX$5</f>
        <v>114</v>
      </c>
      <c r="EMY8" s="668"/>
      <c r="EMZ8" s="446"/>
      <c r="ENA8" s="446"/>
      <c r="ENB8" s="446"/>
      <c r="ENC8" s="446"/>
      <c r="END8" s="446"/>
      <c r="ENE8" s="872">
        <f t="shared" ref="ENE8:ENE16" si="441">SUM(EMY8:END8)</f>
        <v>0</v>
      </c>
      <c r="ENF8" s="873">
        <f t="shared" ref="ENF8:ENF16" si="442">ENE8/$ENF$5</f>
        <v>0</v>
      </c>
    </row>
    <row r="9" spans="1:3750" s="396" customFormat="1" x14ac:dyDescent="0.2">
      <c r="A9" s="391">
        <v>3</v>
      </c>
      <c r="B9" s="21" t="s">
        <v>534</v>
      </c>
      <c r="C9" s="309" t="s">
        <v>533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SUMIF(SUMPK!$B:$B,$B:$B,SUMPK!$O:$O)+400</f>
        <v>400</v>
      </c>
      <c r="K9" s="24"/>
      <c r="L9" s="24">
        <f t="shared" si="224"/>
        <v>1560</v>
      </c>
      <c r="M9" s="15">
        <f t="shared" si="1"/>
        <v>1560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5"/>
        <v>0</v>
      </c>
      <c r="EMH9" s="873">
        <f t="shared" si="436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7"/>
        <v>0</v>
      </c>
      <c r="EMP9" s="873">
        <f t="shared" si="438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9"/>
        <v>0</v>
      </c>
      <c r="EMX9" s="873">
        <f t="shared" si="440"/>
        <v>0</v>
      </c>
      <c r="EMY9" s="668"/>
      <c r="EMZ9" s="446"/>
      <c r="ENA9" s="446"/>
      <c r="ENB9" s="446"/>
      <c r="ENC9" s="446"/>
      <c r="END9" s="446"/>
      <c r="ENE9" s="872">
        <f t="shared" si="441"/>
        <v>0</v>
      </c>
      <c r="ENF9" s="873">
        <f t="shared" si="442"/>
        <v>0</v>
      </c>
    </row>
    <row r="10" spans="1:3750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SUMIF(SUMPK!$B:$B,$B:$B,SUMPK!$O:$O)+700</f>
        <v>700</v>
      </c>
      <c r="K10" s="24"/>
      <c r="L10" s="24">
        <f>F10+H10-J10</f>
        <v>962</v>
      </c>
      <c r="M10" s="15">
        <f t="shared" si="1"/>
        <v>962</v>
      </c>
      <c r="N10" s="444">
        <v>0</v>
      </c>
      <c r="O10" s="276">
        <f t="shared" si="2"/>
        <v>0</v>
      </c>
      <c r="P10" s="277">
        <f t="shared" ref="P10:P15" si="443">S10/$Q$3</f>
        <v>0</v>
      </c>
      <c r="Q10" s="276">
        <f t="shared" si="3"/>
        <v>0</v>
      </c>
      <c r="R10" s="277">
        <f t="shared" si="226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4">SUM(AF10:AK10)</f>
        <v>1000</v>
      </c>
      <c r="AM10" s="43">
        <f t="shared" ref="AM10:AM14" si="445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6">SUM(AN10:AS10)</f>
        <v>301</v>
      </c>
      <c r="AU10" s="43">
        <f t="shared" ref="AU10:AU14" si="447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8">SUM(AV10:BA10)</f>
        <v>598</v>
      </c>
      <c r="BC10" s="43">
        <f t="shared" ref="BC10:BC14" si="449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50">SUM(BD10:BI10)</f>
        <v>2162</v>
      </c>
      <c r="BK10" s="43">
        <f t="shared" ref="BK10:BK14" si="451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52">SUM(BL10:BQ10)</f>
        <v>1201</v>
      </c>
      <c r="BS10" s="43">
        <f t="shared" ref="BS10:BS14" si="453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4">SUM(BT10:BY10)</f>
        <v>1595</v>
      </c>
      <c r="CA10" s="43">
        <f t="shared" ref="CA10:CA14" si="455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6">SUM(CB10:CG10)</f>
        <v>0</v>
      </c>
      <c r="CI10" s="43">
        <f t="shared" ref="CI10:CI14" si="457">CH10/$BK$5</f>
        <v>0</v>
      </c>
      <c r="CJ10" s="48"/>
      <c r="CK10" s="49"/>
      <c r="CL10" s="49"/>
      <c r="CM10" s="49"/>
      <c r="CN10" s="49"/>
      <c r="CO10" s="49"/>
      <c r="CP10" s="42">
        <f t="shared" ref="CP10:CP14" si="458">SUM(CJ10:CO10)</f>
        <v>0</v>
      </c>
      <c r="CQ10" s="43">
        <f t="shared" ref="CQ10:CQ14" si="459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60">SUM(CR10:CW10)</f>
        <v>996</v>
      </c>
      <c r="CY10" s="43">
        <f t="shared" ref="CY10:CY14" si="461">CX10/$BK$5</f>
        <v>166</v>
      </c>
      <c r="CZ10" s="48"/>
      <c r="DA10" s="49"/>
      <c r="DB10" s="49"/>
      <c r="DC10" s="49"/>
      <c r="DD10" s="49"/>
      <c r="DE10" s="49"/>
      <c r="DF10" s="42">
        <f t="shared" ref="DF10:DF14" si="462">SUM(CZ10:DE10)</f>
        <v>0</v>
      </c>
      <c r="DG10" s="43">
        <f t="shared" ref="DG10:DG14" si="463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4">SUM(DH10:DM10)</f>
        <v>599</v>
      </c>
      <c r="DO10" s="43">
        <f t="shared" ref="DO10:DO14" si="465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6">SUM(DP10:DU10)</f>
        <v>439</v>
      </c>
      <c r="DW10" s="43">
        <f t="shared" ref="DW10:DW14" si="467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8">SUM(DX10:EC10)</f>
        <v>1400</v>
      </c>
      <c r="EE10" s="43">
        <f t="shared" ref="EE10:EE14" si="469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70">SUM(EF10:EK10)</f>
        <v>790</v>
      </c>
      <c r="EM10" s="43">
        <f t="shared" ref="EM10:EM14" si="471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72">SUM(EN10:ES10)</f>
        <v>799</v>
      </c>
      <c r="EU10" s="43">
        <f t="shared" ref="EU10:EU14" si="473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4">SUM(EV10:FA10)</f>
        <v>599</v>
      </c>
      <c r="FC10" s="43">
        <f t="shared" ref="FC10:FC14" si="475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6">SUM(FD10:FI10)</f>
        <v>800</v>
      </c>
      <c r="FK10" s="43">
        <f t="shared" ref="FK10:FK14" si="477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8">SUM(FL10:FQ10)</f>
        <v>1199</v>
      </c>
      <c r="FS10" s="43">
        <f t="shared" ref="FS10:FS14" si="479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80">SUM(FT10:FY10)</f>
        <v>598</v>
      </c>
      <c r="GA10" s="43">
        <f t="shared" ref="GA10:GA14" si="481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82">SUM(GB10:GG10)</f>
        <v>1399</v>
      </c>
      <c r="GI10" s="43">
        <f t="shared" ref="GI10:GI14" si="483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4">SUM(GJ10:GO10)</f>
        <v>200</v>
      </c>
      <c r="GQ10" s="43">
        <f t="shared" ref="GQ10:GQ14" si="485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6">SUM(GR10:GW10)</f>
        <v>601</v>
      </c>
      <c r="GY10" s="43">
        <f t="shared" ref="GY10:GY14" si="487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8">SUM(GZ10:HE10)</f>
        <v>400</v>
      </c>
      <c r="HG10" s="43">
        <f t="shared" ref="HG10:HG14" si="489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90">SUM(HH10:HM10)</f>
        <v>454</v>
      </c>
      <c r="HO10" s="43">
        <f t="shared" ref="HO10:HO14" si="491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92">SUM(HP10:HU10)</f>
        <v>514</v>
      </c>
      <c r="HW10" s="43">
        <f t="shared" ref="HW10:HW14" si="493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4">SUM(HX10:IC10)</f>
        <v>1000</v>
      </c>
      <c r="IE10" s="43">
        <f t="shared" ref="IE10:IE14" si="495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6">SUM(IF10:IK10)</f>
        <v>748</v>
      </c>
      <c r="IM10" s="43">
        <f t="shared" ref="IM10:IM14" si="497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8">SUM(IN10:IS10)</f>
        <v>599</v>
      </c>
      <c r="IU10" s="43">
        <f t="shared" ref="IU10:IU14" si="499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500">SUM(IV10:JA10)</f>
        <v>398</v>
      </c>
      <c r="JC10" s="43">
        <f t="shared" ref="JC10:JC14" si="501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502">SUM(JD10:JI10)</f>
        <v>499</v>
      </c>
      <c r="JK10" s="43">
        <f t="shared" ref="JK10:JK14" si="503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4">SUM(JL10:JQ10)</f>
        <v>1789</v>
      </c>
      <c r="JS10" s="43">
        <f t="shared" ref="JS10:JS14" si="505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6">SUM(JT10:JY10)</f>
        <v>203</v>
      </c>
      <c r="KA10" s="43">
        <f t="shared" ref="KA10:KA14" si="507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8">SUM(KB10:KG10)</f>
        <v>598</v>
      </c>
      <c r="KI10" s="43">
        <f t="shared" ref="KI10:KI14" si="509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10">SUM(KJ10:KO10)</f>
        <v>1017</v>
      </c>
      <c r="KQ10" s="43">
        <f t="shared" ref="KQ10:KQ14" si="511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12">SUM(KR10:KW10)</f>
        <v>586</v>
      </c>
      <c r="KY10" s="101">
        <f t="shared" ref="KY10:KY14" si="513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4">SUM(KZ10:LE10)</f>
        <v>1089</v>
      </c>
      <c r="LG10" s="43">
        <f t="shared" ref="LG10:LG17" si="515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6">SUM(LH10:LM10)</f>
        <v>1398</v>
      </c>
      <c r="LO10" s="68">
        <f t="shared" ref="LO10:LO14" si="517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8">SUM(LP10:LU10)</f>
        <v>200</v>
      </c>
      <c r="LW10" s="68">
        <f t="shared" ref="LW10:LW14" si="519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20">SUM(LX10:MC10)</f>
        <v>1195</v>
      </c>
      <c r="ME10" s="68">
        <f t="shared" ref="ME10:ME14" si="521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22">SUM(MF10:MK10)</f>
        <v>400</v>
      </c>
      <c r="MM10" s="43">
        <f t="shared" ref="MM10:MM14" si="523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4">SUM(MN10:MS10)</f>
        <v>799</v>
      </c>
      <c r="MU10" s="43">
        <f t="shared" ref="MU10:MU14" si="525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6">SUM(MV10:NA10)</f>
        <v>971</v>
      </c>
      <c r="NC10" s="43">
        <f t="shared" ref="NC10:NC14" si="527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8">SUM(ND10:NI10)</f>
        <v>406</v>
      </c>
      <c r="NK10" s="43">
        <f t="shared" ref="NK10:NK14" si="529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30">SUM(NL10:NQ10)</f>
        <v>536</v>
      </c>
      <c r="NS10" s="43">
        <f t="shared" ref="NS10:NS14" si="531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32">SUM(NT10:NY10)</f>
        <v>600</v>
      </c>
      <c r="OA10" s="43">
        <f t="shared" ref="OA10:OA14" si="533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4">SUM(OB10:OG10)</f>
        <v>707</v>
      </c>
      <c r="OI10" s="43">
        <f t="shared" ref="OI10:OI14" si="535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6">SUM(OJ10:OO10)</f>
        <v>798</v>
      </c>
      <c r="OQ10" s="43">
        <f t="shared" ref="OQ10:OQ14" si="537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8">SUM(OR10:OW10)</f>
        <v>1195</v>
      </c>
      <c r="OY10" s="68">
        <f t="shared" ref="OY10:OY14" si="539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40">SUM(OZ10:PE10)</f>
        <v>0</v>
      </c>
      <c r="PG10" s="68">
        <f t="shared" ref="PG10:PG14" si="541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42">SUM(PH10:PM10)</f>
        <v>400</v>
      </c>
      <c r="PO10" s="105">
        <f t="shared" ref="PO10:PO14" si="543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4">SUM(PP10:PU10)</f>
        <v>1400</v>
      </c>
      <c r="PW10" s="105">
        <f t="shared" ref="PW10:PW14" si="545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6">SUM(PX10:QC10)</f>
        <v>1000</v>
      </c>
      <c r="QE10" s="105">
        <f t="shared" ref="QE10:QE14" si="547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8">SUM(QF10:QK10)</f>
        <v>795</v>
      </c>
      <c r="QM10" s="105">
        <f t="shared" ref="QM10:QM14" si="549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50">SUM(QN10:QS10)</f>
        <v>1001</v>
      </c>
      <c r="QU10" s="105">
        <f t="shared" ref="QU10:QU14" si="551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52">SUM(QV10:RA10)</f>
        <v>400</v>
      </c>
      <c r="RC10" s="105">
        <f t="shared" ref="RC10:RC14" si="553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4">SUM(RD10:RI10)</f>
        <v>1308</v>
      </c>
      <c r="RK10" s="105">
        <f t="shared" ref="RK10:RK14" si="555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6">SUM(RL10:RQ10)</f>
        <v>297</v>
      </c>
      <c r="RS10" s="105">
        <f t="shared" ref="RS10:RS14" si="557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8">SUM(RT10:RY10)</f>
        <v>612</v>
      </c>
      <c r="SA10" s="105">
        <f t="shared" ref="SA10:SA14" si="559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60">SUM(SB10:SG10)</f>
        <v>500</v>
      </c>
      <c r="SI10" s="105">
        <f t="shared" ref="SI10:SI14" si="561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62">SUM(SJ10:SO10)</f>
        <v>1001</v>
      </c>
      <c r="SQ10" s="105">
        <f t="shared" ref="SQ10:SQ14" si="563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4">SUM(SR10:SW10)</f>
        <v>701</v>
      </c>
      <c r="SY10" s="105">
        <f t="shared" ref="SY10:SY14" si="565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6">SUM(SZ10:TE10)</f>
        <v>763</v>
      </c>
      <c r="TG10" s="105">
        <f t="shared" ref="TG10:TG14" si="567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8">SUM(TH10:TM10)</f>
        <v>811</v>
      </c>
      <c r="TO10" s="105">
        <f t="shared" ref="TO10:TO14" si="569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70">SUM(TQ10:TV10)</f>
        <v>800</v>
      </c>
      <c r="TX10" s="105">
        <f t="shared" ref="TX10:TX14" si="571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72">SUM(TY10:UD10)</f>
        <v>400</v>
      </c>
      <c r="UF10" s="105">
        <f t="shared" ref="UF10:UF14" si="573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4">SUM(UG10:UL10)</f>
        <v>1037</v>
      </c>
      <c r="UN10" s="105">
        <f t="shared" ref="UN10:UN14" si="575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6">SUM(UO10:UT10)</f>
        <v>199</v>
      </c>
      <c r="UV10" s="105">
        <f t="shared" ref="UV10:UV14" si="577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8">SUM(UW10:VB10)</f>
        <v>1000</v>
      </c>
      <c r="VD10" s="105">
        <f t="shared" ref="VD10:VD14" si="579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80">SUM(VE10:VJ10)</f>
        <v>800</v>
      </c>
      <c r="VL10" s="68">
        <f t="shared" ref="VL10:VL14" si="581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82">SUM(VN10:VS10)</f>
        <v>432</v>
      </c>
      <c r="VU10" s="68">
        <f t="shared" ref="VU10:VU14" si="583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4">SUM(VW10:WB10)</f>
        <v>200</v>
      </c>
      <c r="WD10" s="68">
        <f t="shared" ref="WD10:WD14" si="585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6">SUM(WF10:WK10)</f>
        <v>991</v>
      </c>
      <c r="WM10" s="68">
        <f t="shared" ref="WM10:WM14" si="587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8">SUM(WO10:WT10)</f>
        <v>599</v>
      </c>
      <c r="WV10" s="68">
        <f t="shared" ref="WV10:WV14" si="589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90">SUM(WX10:XC10)</f>
        <v>402</v>
      </c>
      <c r="XE10" s="105">
        <f t="shared" ref="XE10:XE14" si="591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92">SUM(XF10:XK10)</f>
        <v>400</v>
      </c>
      <c r="XM10" s="68">
        <f t="shared" ref="XM10:XM14" si="593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4">SUM(XN10:XS10)</f>
        <v>602</v>
      </c>
      <c r="XU10" s="68">
        <f t="shared" ref="XU10:XU14" si="595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6">SUM(XV10:YA10)</f>
        <v>803</v>
      </c>
      <c r="YC10" s="68">
        <f t="shared" ref="YC10:YC14" si="597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8">SUM(YE10:YJ10)</f>
        <v>554</v>
      </c>
      <c r="YL10" s="68">
        <f t="shared" ref="YL10:YL14" si="599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600">SUM(YN10:YS10)</f>
        <v>800</v>
      </c>
      <c r="YU10" s="68">
        <f t="shared" ref="YU10:YU14" si="601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602">SUM(YV10:ZA10)</f>
        <v>300</v>
      </c>
      <c r="ZC10" s="68">
        <f t="shared" ref="ZC10:ZC14" si="603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4">SUM(ZD10:ZI10)</f>
        <v>1176</v>
      </c>
      <c r="ZK10" s="68">
        <f t="shared" ref="ZK10:ZK14" si="605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6">SUM(ZL10:ZQ10)</f>
        <v>490</v>
      </c>
      <c r="ZS10" s="68">
        <f t="shared" ref="ZS10:ZS14" si="607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8">SUM(ZT10:ZY10)</f>
        <v>401</v>
      </c>
      <c r="AAA10" s="68">
        <f t="shared" ref="AAA10:AAA14" si="609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10">SUM(AAB10:AAG10)</f>
        <v>705</v>
      </c>
      <c r="AAI10" s="68">
        <f t="shared" ref="AAI10:AAI14" si="611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12">SUM(AAJ10:AAO10)</f>
        <v>805</v>
      </c>
      <c r="AAQ10" s="68">
        <f t="shared" ref="AAQ10:AAQ14" si="613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4">SUM(AAR10:AAW10)</f>
        <v>220</v>
      </c>
      <c r="AAY10" s="68">
        <f t="shared" ref="AAY10:AAY14" si="615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6">SUM(AAZ10:ABE10)</f>
        <v>402</v>
      </c>
      <c r="ABG10" s="68">
        <f t="shared" ref="ABG10:ABG14" si="617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8">SUM(ABH10:ABM10)</f>
        <v>993</v>
      </c>
      <c r="ABO10" s="68">
        <f t="shared" ref="ABO10:ABO14" si="619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20">SUM(ABP10:ABU10)</f>
        <v>836</v>
      </c>
      <c r="ABW10" s="68">
        <f t="shared" ref="ABW10:ABW14" si="621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22">SUM(ABX10:ACC10)</f>
        <v>432</v>
      </c>
      <c r="ACE10" s="68">
        <f t="shared" ref="ACE10:ACE14" si="623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4">SUM(ACF10:ACK10)</f>
        <v>0</v>
      </c>
      <c r="ACM10" s="68">
        <f t="shared" ref="ACM10:ACM14" si="625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6">SUM(ACN10:ACS10)</f>
        <v>490</v>
      </c>
      <c r="ACU10" s="68">
        <f t="shared" ref="ACU10:ACU14" si="627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8">SUM(ACV10:ADA10)</f>
        <v>896</v>
      </c>
      <c r="ADC10" s="68">
        <f t="shared" ref="ADC10:ADC14" si="629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30">SUM(ADD10:ADI10)</f>
        <v>397</v>
      </c>
      <c r="ADK10" s="68">
        <f t="shared" ref="ADK10:ADK14" si="631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32">SUM(ADL10:ADQ10)</f>
        <v>390</v>
      </c>
      <c r="ADS10" s="68">
        <f t="shared" ref="ADS10:ADS14" si="633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4">SUM(ADT10:ADY10)</f>
        <v>435</v>
      </c>
      <c r="AEA10" s="68">
        <f t="shared" ref="AEA10:AEA14" si="635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6">SUM(AEB10:AEG10)</f>
        <v>219</v>
      </c>
      <c r="AEI10" s="68">
        <f t="shared" ref="AEI10:AEI14" si="637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8">SUM(AEJ10:AEO10)</f>
        <v>880</v>
      </c>
      <c r="AEQ10" s="68">
        <f t="shared" ref="AEQ10:AEQ14" si="639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40">SUM(AER10:AEW10)</f>
        <v>220</v>
      </c>
      <c r="AEY10" s="68">
        <f t="shared" ref="AEY10:AEY14" si="641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42">SUM(AEZ10:AFE10)</f>
        <v>0</v>
      </c>
      <c r="AFG10" s="68">
        <f t="shared" ref="AFG10:AFG14" si="643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4">SUM(AFH10:AFM10)</f>
        <v>440</v>
      </c>
      <c r="AFO10" s="68">
        <f t="shared" ref="AFO10:AFO14" si="645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6">SUM(AFP10:AFU10)</f>
        <v>770</v>
      </c>
      <c r="AFW10" s="68">
        <f t="shared" ref="AFW10:AFW14" si="647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8">SUM(AFX10:AGC10)</f>
        <v>0</v>
      </c>
      <c r="AGE10" s="68">
        <f t="shared" ref="AGE10:AGE14" si="649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50">SUM(AGF10:AGK10)</f>
        <v>770</v>
      </c>
      <c r="AGM10" s="68">
        <f t="shared" ref="AGM10:AGM14" si="651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52">SUM(AGN10:AGS10)</f>
        <v>440</v>
      </c>
      <c r="AGU10" s="43">
        <f t="shared" ref="AGU10:AGU14" si="653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4">SUM(AGV10:AHA10)</f>
        <v>0</v>
      </c>
      <c r="AHC10" s="43">
        <f t="shared" ref="AHC10:AHC14" si="655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6">SUM(AHD10:AHI10)</f>
        <v>444</v>
      </c>
      <c r="AHK10" s="43">
        <f t="shared" ref="AHK10:AHK14" si="657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8">SUM(AHL10:AHQ10)</f>
        <v>433</v>
      </c>
      <c r="AHS10" s="68">
        <f t="shared" ref="AHS10:AHS14" si="659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60">SUM(AHT10:AHY10)</f>
        <v>436</v>
      </c>
      <c r="AIA10" s="184">
        <f t="shared" ref="AIA10:AIA14" si="661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62">SUM(AIB10:AIG10)</f>
        <v>220</v>
      </c>
      <c r="AII10" s="184">
        <f t="shared" ref="AII10:AII14" si="663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4">SUM(AIJ10:AIO10)</f>
        <v>440</v>
      </c>
      <c r="AIQ10" s="184">
        <f t="shared" ref="AIQ10:AIQ14" si="665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6">SUM(AIR10:AIW10)</f>
        <v>8</v>
      </c>
      <c r="AIY10" s="68">
        <f t="shared" ref="AIY10:AIY14" si="667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8">SUM(AIZ10:AJE10)</f>
        <v>110</v>
      </c>
      <c r="AJG10" s="68">
        <f t="shared" ref="AJG10:AJG14" si="669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70">SUM(AJH10:AJM10)</f>
        <v>110</v>
      </c>
      <c r="AJO10" s="43">
        <f t="shared" ref="AJO10:AJO14" si="671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72">SUM(AJP10:AJU10)</f>
        <v>216</v>
      </c>
      <c r="AJW10" s="43">
        <f t="shared" ref="AJW10:AJW14" si="673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4">SUM(AJX10:AKC10)</f>
        <v>220</v>
      </c>
      <c r="AKE10" s="43">
        <f t="shared" ref="AKE10:AKE14" si="675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6">SUM(AKF10:AKK10)</f>
        <v>535</v>
      </c>
      <c r="AKM10" s="43">
        <f t="shared" ref="AKM10:AKM14" si="677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8">SUM(AKN10:AKS10)</f>
        <v>456</v>
      </c>
      <c r="AKU10" s="43">
        <f t="shared" ref="AKU10:AKU14" si="679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80">SUM(AKV10:ALA10)</f>
        <v>788</v>
      </c>
      <c r="ALC10" s="43">
        <f t="shared" ref="ALC10:ALC14" si="681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82">SUM(ALD10:ALI10)</f>
        <v>220</v>
      </c>
      <c r="ALK10" s="43">
        <f t="shared" ref="ALK10:ALK14" si="683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4">SUM(ALL10:ALQ10)</f>
        <v>110</v>
      </c>
      <c r="ALS10" s="68">
        <f t="shared" ref="ALS10:ALS14" si="685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6">SUM(ALT10:ALY10)</f>
        <v>330</v>
      </c>
      <c r="AMA10" s="68">
        <f t="shared" ref="AMA10:AMA14" si="687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8">SUM(AMB10:AMG10)</f>
        <v>440</v>
      </c>
      <c r="AMI10" s="68">
        <f t="shared" ref="AMI10:AMI14" si="689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90">SUM(AMJ10:AMO10)</f>
        <v>330</v>
      </c>
      <c r="AMQ10" s="68">
        <f t="shared" ref="AMQ10:AMQ14" si="691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92">SUM(AMR10:AMW10)</f>
        <v>330</v>
      </c>
      <c r="AMY10" s="68">
        <f t="shared" ref="AMY10:AMY14" si="693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4">SUM(AMZ10:ANE10)</f>
        <v>110</v>
      </c>
      <c r="ANG10" s="68">
        <f t="shared" ref="ANG10:ANG14" si="695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6">SUM(ANH10:ANM10)</f>
        <v>646</v>
      </c>
      <c r="ANO10" s="68">
        <f t="shared" ref="ANO10:ANO14" si="697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8">SUM(ANP10:ANU10)</f>
        <v>220</v>
      </c>
      <c r="ANW10" s="68">
        <f t="shared" ref="ANW10:ANW14" si="699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700">SUM(ANX10:AOC10)</f>
        <v>330</v>
      </c>
      <c r="AOE10" s="68">
        <f t="shared" ref="AOE10:AOE14" si="701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702">SUM(AOF10:AOK10)</f>
        <v>770</v>
      </c>
      <c r="AOM10" s="68">
        <f t="shared" ref="AOM10:AOM14" si="703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4">SUM(AON10:AOS10)</f>
        <v>110</v>
      </c>
      <c r="AOU10" s="68">
        <f t="shared" ref="AOU10:AOU14" si="705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6">SUM(AOV10:APA10)</f>
        <v>220</v>
      </c>
      <c r="APC10" s="68">
        <f t="shared" ref="APC10:APC14" si="707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8">SUM(APD10:API10)</f>
        <v>440</v>
      </c>
      <c r="APK10" s="68">
        <f t="shared" ref="APK10:APK14" si="709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10">SUM(APL10:APQ10)</f>
        <v>550</v>
      </c>
      <c r="APS10" s="68">
        <f t="shared" ref="APS10:APS14" si="711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12">SUM(APT10:APY10)</f>
        <v>440</v>
      </c>
      <c r="AQA10" s="68">
        <f t="shared" ref="AQA10:AQA14" si="713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4">SUM(AQB10:AQG10)</f>
        <v>0</v>
      </c>
      <c r="AQI10" s="68">
        <f t="shared" ref="AQI10:AQI14" si="715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6">SUM(AQJ10:AQO10)</f>
        <v>0</v>
      </c>
      <c r="AQQ10" s="43">
        <f t="shared" ref="AQQ10:AQQ14" si="717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8">SUM(AQR10:AQW10)</f>
        <v>0</v>
      </c>
      <c r="AQY10" s="43">
        <f t="shared" ref="AQY10:AQY14" si="719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20">SUM(AQZ10:ARE10)</f>
        <v>435</v>
      </c>
      <c r="ARG10" s="43">
        <f t="shared" ref="ARG10:ARG14" si="721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22">SUM(ARH10:ARM10)</f>
        <v>220</v>
      </c>
      <c r="ARO10" s="43">
        <f t="shared" ref="ARO10:ARO14" si="723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4">SUM(ARP10:ARU10)</f>
        <v>0</v>
      </c>
      <c r="ARW10" s="43">
        <f t="shared" ref="ARW10:ARW14" si="725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6">SUM(ARX10:ASC10)</f>
        <v>221</v>
      </c>
      <c r="ASE10" s="43">
        <f t="shared" ref="ASE10:ASE14" si="727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8">SUM(ASF10:ASK10)</f>
        <v>330</v>
      </c>
      <c r="ASM10" s="43">
        <f t="shared" ref="ASM10:ASM14" si="729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30">SUM(ASN10:ASS10)</f>
        <v>220</v>
      </c>
      <c r="ASU10" s="43">
        <f t="shared" ref="ASU10:ASU14" si="731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32">SUM(ASV10:ATA10)</f>
        <v>220</v>
      </c>
      <c r="ATC10" s="43">
        <f t="shared" ref="ATC10:ATC14" si="733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4">SUM(ATD10:ATI10)</f>
        <v>220</v>
      </c>
      <c r="ATK10" s="43">
        <f t="shared" ref="ATK10:ATK14" si="735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6">SUM(ATL10:ATQ10)</f>
        <v>330</v>
      </c>
      <c r="ATS10" s="43">
        <f t="shared" ref="ATS10:ATS14" si="737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8">SUM(ATT10:ATY10)</f>
        <v>121</v>
      </c>
      <c r="AUA10" s="43">
        <f t="shared" ref="AUA10:AUA14" si="739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40">SUM(AUB10:AUG10)</f>
        <v>0</v>
      </c>
      <c r="AUI10" s="43">
        <f t="shared" ref="AUI10:AUI14" si="741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42">SUM(AUJ10:AUO10)</f>
        <v>0</v>
      </c>
      <c r="AUQ10" s="43">
        <f t="shared" ref="AUQ10:AUQ14" si="743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4">SUM(AUR10:AUW10)</f>
        <v>0</v>
      </c>
      <c r="AUY10" s="43">
        <f t="shared" ref="AUY10:AUY14" si="745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6">SUM(AUZ10:AVE10)</f>
        <v>0</v>
      </c>
      <c r="AVG10" s="43">
        <f t="shared" ref="AVG10:AVG14" si="747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8">SUM(AVH10:AVM10)</f>
        <v>0</v>
      </c>
      <c r="AVO10" s="43">
        <f t="shared" ref="AVO10:AVO14" si="749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50">SUM(AVP10:AVU10)</f>
        <v>440</v>
      </c>
      <c r="AVW10" s="43">
        <f t="shared" ref="AVW10:AVW14" si="751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52">SUM(AVX10:AWC10)</f>
        <v>0</v>
      </c>
      <c r="AWE10" s="43">
        <f t="shared" ref="AWE10:AWE14" si="753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4">SUM(AWF10:AWK10)</f>
        <v>0</v>
      </c>
      <c r="AWM10" s="43">
        <f t="shared" ref="AWM10:AWM14" si="755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6">SUM(AWN10:AWS10)</f>
        <v>0</v>
      </c>
      <c r="AWU10" s="43">
        <f t="shared" ref="AWU10:AWU14" si="757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8">SUM(AWV10:AXA10)</f>
        <v>320</v>
      </c>
      <c r="AXC10" s="43">
        <f t="shared" ref="AXC10:AXC14" si="759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60">SUM(AXD10:AXI10)</f>
        <v>0</v>
      </c>
      <c r="AXK10" s="43">
        <f t="shared" ref="AXK10:AXK14" si="761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62">SUM(AXL10:AXP10)</f>
        <v>0</v>
      </c>
      <c r="AXS10" s="43">
        <f t="shared" ref="AXS10:AXS14" si="763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4">SUM(AXT10:AXX10)</f>
        <v>220</v>
      </c>
      <c r="AYA10" s="43">
        <f t="shared" ref="AYA10:AYA14" si="765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6">SUM(AYB10:AYG10)</f>
        <v>329</v>
      </c>
      <c r="AYI10" s="43">
        <f t="shared" ref="AYI10:AYI14" si="767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8">SUM(AYJ10:AYO10)</f>
        <v>0</v>
      </c>
      <c r="AYQ10" s="43">
        <f t="shared" ref="AYQ10:AYQ14" si="769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70">SUM(AYR10:AYW10)</f>
        <v>0</v>
      </c>
      <c r="AYY10" s="43">
        <f t="shared" ref="AYY10:AYY14" si="771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72">SUM(AYZ10:AZE10)</f>
        <v>330</v>
      </c>
      <c r="AZG10" s="43">
        <f t="shared" ref="AZG10:AZG14" si="773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4">SUM(AZH10:AZM10)</f>
        <v>220</v>
      </c>
      <c r="AZO10" s="43">
        <f t="shared" ref="AZO10:AZO14" si="775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6">SUM(AZP10:AZU10)</f>
        <v>220</v>
      </c>
      <c r="AZW10" s="43">
        <f t="shared" ref="AZW10:AZW14" si="777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8">SUM(AZX10:BAC10)</f>
        <v>0</v>
      </c>
      <c r="BAE10" s="43">
        <f t="shared" ref="BAE10:BAE14" si="779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80">SUM(BAF10:BAK10)</f>
        <v>218</v>
      </c>
      <c r="BAM10" s="43">
        <f t="shared" ref="BAM10:BAM14" si="781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82">SUM(BAN10:BAS10)</f>
        <v>220</v>
      </c>
      <c r="BAU10" s="43">
        <f t="shared" ref="BAU10:BAU14" si="783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4">SUM(BAV10:BBA10)</f>
        <v>0</v>
      </c>
      <c r="BBC10" s="43">
        <f t="shared" ref="BBC10:BBC14" si="785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6">SUM(BBD10:BBI10)</f>
        <v>167</v>
      </c>
      <c r="BBK10" s="43">
        <f t="shared" ref="BBK10:BBK14" si="787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8">SUM(BBL10:BBQ10)</f>
        <v>0</v>
      </c>
      <c r="BBS10" s="43">
        <f t="shared" ref="BBS10:BBS14" si="789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90">SUM(BBT10:BBY10)</f>
        <v>0</v>
      </c>
      <c r="BCA10" s="43">
        <f t="shared" ref="BCA10:BCA14" si="791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92">SUM(BCB10:BCG10)</f>
        <v>220</v>
      </c>
      <c r="BCI10" s="43">
        <f t="shared" ref="BCI10:BCI14" si="793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4">SUM(BCJ10:BCO10)</f>
        <v>0</v>
      </c>
      <c r="BCQ10" s="43">
        <f t="shared" ref="BCQ10:BCQ14" si="795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6">SUM(BCR10:BCW10)</f>
        <v>341</v>
      </c>
      <c r="BCY10" s="43">
        <f t="shared" ref="BCY10:BCY14" si="797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8">SUM(BCZ10:BDE10)</f>
        <v>0</v>
      </c>
      <c r="BDG10" s="43">
        <f t="shared" ref="BDG10:BDG14" si="799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800">SUM(BDH10:BDM10)</f>
        <v>220</v>
      </c>
      <c r="BDO10" s="43">
        <f t="shared" ref="BDO10:BDO14" si="801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802">SUM(BDP10:BDU10)</f>
        <v>110</v>
      </c>
      <c r="BDW10" s="43">
        <f t="shared" ref="BDW10:BDW14" si="803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4">SUM(BDX10:BEC10)</f>
        <v>0</v>
      </c>
      <c r="BEE10" s="43">
        <f t="shared" ref="BEE10:BEE14" si="805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6">SUM(BEF10:BEK10)</f>
        <v>0</v>
      </c>
      <c r="BEM10" s="43">
        <f t="shared" ref="BEM10:BEM14" si="807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8">SUM(BEN10:BES10)</f>
        <v>459</v>
      </c>
      <c r="BEU10" s="43">
        <f t="shared" ref="BEU10:BEU14" si="809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10">SUM(BEV10:BFA10)</f>
        <v>0</v>
      </c>
      <c r="BFC10" s="43">
        <f t="shared" ref="BFC10:BFC14" si="811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12">SUM(BFD10:BFI10)</f>
        <v>0</v>
      </c>
      <c r="BFK10" s="43">
        <f t="shared" ref="BFK10:BFK14" si="813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4">SUM(BFL10:BFQ10)</f>
        <v>90</v>
      </c>
      <c r="BFS10" s="43">
        <f t="shared" ref="BFS10:BFS14" si="815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6">SUM(BFT10:BFY10)</f>
        <v>0</v>
      </c>
      <c r="BGA10" s="43">
        <f t="shared" ref="BGA10:BGA14" si="817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8">SUM(BGB10:BGG10)</f>
        <v>219</v>
      </c>
      <c r="BGI10" s="43">
        <f t="shared" ref="BGI10:BGI14" si="819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20">SUM(BGJ10:BGO10)</f>
        <v>0</v>
      </c>
      <c r="BGQ10" s="43">
        <f t="shared" ref="BGQ10:BGQ14" si="821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22">SUM(BGR10:BGW10)</f>
        <v>436</v>
      </c>
      <c r="BGY10" s="43">
        <f t="shared" ref="BGY10:BGY14" si="823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4">SUM(BGZ10:BHE10)</f>
        <v>325</v>
      </c>
      <c r="BHG10" s="43">
        <f t="shared" ref="BHG10:BHG14" si="825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6">SUM(BHH10:BHM10)</f>
        <v>220</v>
      </c>
      <c r="BHO10" s="43">
        <f t="shared" ref="BHO10:BHO14" si="827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8">SUM(BHP10:BHU10)</f>
        <v>0</v>
      </c>
      <c r="BHW10" s="43">
        <f t="shared" ref="BHW10:BHW14" si="829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30">SUM(BHX10:BIC10)</f>
        <v>0</v>
      </c>
      <c r="BIE10" s="43">
        <f t="shared" ref="BIE10:BIE14" si="831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32">SUM(BIF10:BIK10)</f>
        <v>308</v>
      </c>
      <c r="BIM10" s="43">
        <f t="shared" ref="BIM10:BIM14" si="833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4">SUM(BIN10:BIS10)</f>
        <v>330</v>
      </c>
      <c r="BIU10" s="43">
        <f t="shared" ref="BIU10:BIU14" si="835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6">SUM(BIV10:BJA10)</f>
        <v>0</v>
      </c>
      <c r="BJC10" s="43">
        <f t="shared" ref="BJC10:BJC14" si="837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8">SUM(BJD10:BJI10)</f>
        <v>111</v>
      </c>
      <c r="BJK10" s="43">
        <f t="shared" ref="BJK10:BJK14" si="839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40">SUM(BJL10:BJQ10)</f>
        <v>87</v>
      </c>
      <c r="BJS10" s="43">
        <f t="shared" ref="BJS10:BJS14" si="841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42">SUM(BJT10:BJY10)</f>
        <v>109</v>
      </c>
      <c r="BKA10" s="43">
        <f t="shared" ref="BKA10:BKA14" si="843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4">SUM(BKB10:BKG10)</f>
        <v>239</v>
      </c>
      <c r="BKI10" s="43">
        <f t="shared" ref="BKI10:BKI14" si="845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6">SUM(BKJ10:BKO10)</f>
        <v>200</v>
      </c>
      <c r="BKQ10" s="43">
        <f t="shared" ref="BKQ10:BKQ14" si="847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8">SUM(BKR10:BKW10)</f>
        <v>0</v>
      </c>
      <c r="BKY10" s="43">
        <f t="shared" ref="BKY10:BKY14" si="849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50">SUM(BKZ10:BLE10)</f>
        <v>0</v>
      </c>
      <c r="BLG10" s="43">
        <f t="shared" ref="BLG10:BLG14" si="851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52">SUM(BLH10:BLM10)</f>
        <v>0</v>
      </c>
      <c r="BLO10" s="68">
        <f t="shared" ref="BLO10:BLO14" si="853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4">SUM(BLP10:BLU10)</f>
        <v>0</v>
      </c>
      <c r="BLW10" s="68">
        <f t="shared" ref="BLW10:BLW14" si="855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6">SUM(BLX10:BMC10)</f>
        <v>220</v>
      </c>
      <c r="BME10" s="43">
        <f t="shared" ref="BME10:BME14" si="857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8">SUM(BMF10:BMK10)</f>
        <v>109</v>
      </c>
      <c r="BMM10" s="43">
        <f t="shared" ref="BMM10:BMM14" si="859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60">SUM(BMN10:BMS10)</f>
        <v>0</v>
      </c>
      <c r="BMU10" s="43">
        <f t="shared" ref="BMU10:BMU14" si="861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62">SUM(BMV10:BNA10)</f>
        <v>474</v>
      </c>
      <c r="BNC10" s="43">
        <f t="shared" ref="BNC10:BNC14" si="863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4">SUM(BND10:BNI10)</f>
        <v>200</v>
      </c>
      <c r="BNK10" s="184">
        <f t="shared" ref="BNK10:BNK14" si="865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6">SUM(BNL10:BNQ10)</f>
        <v>0</v>
      </c>
      <c r="BNS10" s="211">
        <f t="shared" ref="BNS10:BNS14" si="867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8">SUM(BNT10:BNY10)</f>
        <v>312</v>
      </c>
      <c r="BOA10" s="184">
        <f t="shared" ref="BOA10:BOA14" si="869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70">SUM(BOB10:BOG10)</f>
        <v>0</v>
      </c>
      <c r="BOI10" s="68">
        <f t="shared" ref="BOI10:BOI14" si="871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72">SUM(BOJ10:BOO10)</f>
        <v>180</v>
      </c>
      <c r="BOQ10" s="68">
        <f t="shared" ref="BOQ10:BOQ14" si="873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4">SUM(BOR10:BOW10)</f>
        <v>0</v>
      </c>
      <c r="BOY10" s="68">
        <f t="shared" ref="BOY10:BOY14" si="875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6">SUM(BOZ10:BPE10)</f>
        <v>420</v>
      </c>
      <c r="BPG10" s="68">
        <f t="shared" ref="BPG10:BPG14" si="877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8">SUM(BPH10:BPM10)</f>
        <v>219</v>
      </c>
      <c r="BPO10" s="68">
        <f t="shared" ref="BPO10:BPO14" si="879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80">SUM(BPP10:BPU10)</f>
        <v>110</v>
      </c>
      <c r="BPW10" s="68">
        <f t="shared" ref="BPW10:BPW14" si="881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82">SUM(BPX10:BQC10)</f>
        <v>0</v>
      </c>
      <c r="BQE10" s="68">
        <f t="shared" ref="BQE10:BQE14" si="883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4">SUM(BQF10:BQK10)</f>
        <v>432</v>
      </c>
      <c r="BQM10" s="68">
        <f t="shared" ref="BQM10:BQM14" si="885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6">SUM(BQN10:BQS10)</f>
        <v>220</v>
      </c>
      <c r="BQU10" s="68">
        <f t="shared" ref="BQU10:BQU14" si="887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8">SUM(BQV10:BRA10)</f>
        <v>307</v>
      </c>
      <c r="BRC10" s="68">
        <f t="shared" ref="BRC10:BRC14" si="889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90">SUM(BRD10:BRI10)</f>
        <v>218</v>
      </c>
      <c r="BRK10" s="68">
        <f t="shared" ref="BRK10:BRK14" si="891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92">SUM(BRL10:BRQ10)</f>
        <v>86</v>
      </c>
      <c r="BRS10" s="68">
        <f t="shared" ref="BRS10:BRS14" si="893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4">SUM(BRT10:BRY10)</f>
        <v>200</v>
      </c>
      <c r="BSA10" s="68">
        <f t="shared" ref="BSA10:BSA14" si="895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6">SUM(BSB10:BSG10)</f>
        <v>326</v>
      </c>
      <c r="BSI10" s="68">
        <f t="shared" ref="BSI10:BSI14" si="897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8">SUM(BSJ10:BSO10)</f>
        <v>11</v>
      </c>
      <c r="BSQ10" s="68">
        <f t="shared" ref="BSQ10:BSQ14" si="899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900">SUM(BSR10:BSW10)</f>
        <v>0</v>
      </c>
      <c r="BSY10" s="68">
        <f t="shared" ref="BSY10:BSY14" si="901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902">SUM(BSZ10:BTE10)</f>
        <v>0</v>
      </c>
      <c r="BTG10" s="68">
        <f t="shared" ref="BTG10:BTG14" si="903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4">SUM(BTH10:BTM10)</f>
        <v>0</v>
      </c>
      <c r="BTO10" s="68">
        <f t="shared" ref="BTO10:BTO14" si="905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6">SUM(BTP10:BTU10)</f>
        <v>420</v>
      </c>
      <c r="BTW10" s="68">
        <f t="shared" ref="BTW10:BTW14" si="907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8">SUM(BTX10:BUC10)</f>
        <v>0</v>
      </c>
      <c r="BUE10" s="68">
        <f t="shared" ref="BUE10:BUE14" si="909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10">SUM(BUF10:BUK10)</f>
        <v>0</v>
      </c>
      <c r="BUM10" s="68">
        <f t="shared" ref="BUM10:BUM14" si="911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12">SUM(BUN10:BUS10)</f>
        <v>0</v>
      </c>
      <c r="BUU10" s="68">
        <f t="shared" ref="BUU10:BUU14" si="913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4">SUM(BUV10:BVA10)</f>
        <v>0</v>
      </c>
      <c r="BVC10" s="68">
        <f t="shared" ref="BVC10:BVC14" si="915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6">SUM(BVD10:BVI10)</f>
        <v>0</v>
      </c>
      <c r="BVK10" s="68">
        <f t="shared" ref="BVK10:BVK14" si="917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8">SUM(BVL10:BVQ10)</f>
        <v>0</v>
      </c>
      <c r="BVS10" s="68">
        <f t="shared" ref="BVS10:BVS14" si="919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20">SUM(BVT10:BVY10)</f>
        <v>0</v>
      </c>
      <c r="BWA10" s="68">
        <f t="shared" ref="BWA10:BWA14" si="921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22">SUM(BWB10:BWG10)</f>
        <v>458</v>
      </c>
      <c r="BWI10" s="68">
        <f t="shared" ref="BWI10:BWI14" si="923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4">SUM(BWJ10:BWO10)</f>
        <v>110</v>
      </c>
      <c r="BWQ10" s="68">
        <f t="shared" ref="BWQ10:BWQ14" si="925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6">SUM(BWR10:BWW10)</f>
        <v>200</v>
      </c>
      <c r="BWY10" s="68">
        <f t="shared" ref="BWY10:BWY14" si="927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8">SUM(BWZ10:BXE10)</f>
        <v>110</v>
      </c>
      <c r="BXG10" s="68">
        <f t="shared" ref="BXG10:BXG14" si="929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30">SUM(BXH10:BXM10)</f>
        <v>199</v>
      </c>
      <c r="BXO10" s="68">
        <f t="shared" ref="BXO10:BXO14" si="931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32">SUM(BXP10:BXU10)</f>
        <v>220</v>
      </c>
      <c r="BXW10" s="68">
        <f t="shared" ref="BXW10:BXW14" si="933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4">SUM(BXX10:BYC10)</f>
        <v>199</v>
      </c>
      <c r="BYE10" s="68">
        <f t="shared" ref="BYE10:BYE14" si="935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6">SUM(BYF10:BYK10)</f>
        <v>0</v>
      </c>
      <c r="BYM10" s="68">
        <f t="shared" ref="BYM10:BYM14" si="937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8">SUM(BYN10:BYS10)</f>
        <v>0</v>
      </c>
      <c r="BYU10" s="68">
        <f t="shared" ref="BYU10:BYU14" si="939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40">SUM(BYV10:BZA10)</f>
        <v>200</v>
      </c>
      <c r="BZC10" s="68">
        <f t="shared" ref="BZC10:BZC14" si="941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42">SUM(BZD10:BZI10)</f>
        <v>0</v>
      </c>
      <c r="BZK10" s="68">
        <f t="shared" ref="BZK10:BZK14" si="943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4">SUM(BZL10:BZQ10)</f>
        <v>110</v>
      </c>
      <c r="BZS10" s="68">
        <f t="shared" ref="BZS10:BZS14" si="945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6">SUM(BZT10:BZY10)</f>
        <v>0</v>
      </c>
      <c r="CAA10" s="68">
        <f t="shared" ref="CAA10:CAA14" si="947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8">SUM(CAB10:CAG10)</f>
        <v>0</v>
      </c>
      <c r="CAI10" s="68">
        <f t="shared" ref="CAI10:CAI14" si="949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50">SUM(CAJ10:CAO10)</f>
        <v>0</v>
      </c>
      <c r="CAQ10" s="68">
        <f t="shared" ref="CAQ10:CAQ14" si="951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52">SUM(CAR10:CAW10)</f>
        <v>0</v>
      </c>
      <c r="CAY10" s="68">
        <f t="shared" ref="CAY10:CAY14" si="953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4">SUM(CAZ10:CBE10)</f>
        <v>129</v>
      </c>
      <c r="CBG10" s="68">
        <f t="shared" ref="CBG10:CBG14" si="955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6">SUM(CBH10:CBM10)</f>
        <v>0</v>
      </c>
      <c r="CBO10" s="68">
        <f t="shared" ref="CBO10:CBO14" si="957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8">SUM(CBP10:CBU10)</f>
        <v>0</v>
      </c>
      <c r="CBW10" s="68">
        <f t="shared" ref="CBW10:CBW14" si="959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60">SUM(CBX10:CCC10)</f>
        <v>0</v>
      </c>
      <c r="CCE10" s="68">
        <f t="shared" ref="CCE10:CCE14" si="961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62">SUM(CCF10:CCK10)</f>
        <v>0</v>
      </c>
      <c r="CCM10" s="68">
        <f t="shared" ref="CCM10:CCM14" si="963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4">SUM(CCN10:CCS10)</f>
        <v>0</v>
      </c>
      <c r="CCU10" s="68">
        <f t="shared" ref="CCU10:CCU14" si="965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6">SUM(CCV10:CDA10)</f>
        <v>0</v>
      </c>
      <c r="CDC10" s="68">
        <f t="shared" ref="CDC10:CDC14" si="967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8">SUM(CDD10:CDI10)</f>
        <v>0</v>
      </c>
      <c r="CDK10" s="68">
        <f t="shared" ref="CDK10:CDK14" si="969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70">SUM(CDL10:CDQ10)</f>
        <v>0</v>
      </c>
      <c r="CDS10" s="68">
        <f t="shared" ref="CDS10:CDS14" si="971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72">SUM(CDT10:CDY10)</f>
        <v>0</v>
      </c>
      <c r="CEA10" s="68">
        <f t="shared" ref="CEA10:CEA14" si="973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4">SUM(CEX10:CFC10)</f>
        <v>0</v>
      </c>
      <c r="CFE10" s="68">
        <f t="shared" ref="CFE10:CFE14" si="975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6">SUM(CFF10:CFK10)</f>
        <v>0</v>
      </c>
      <c r="CFM10" s="68">
        <f t="shared" ref="CFM10:CFM14" si="977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8">SUM(CFN10:CFS10)</f>
        <v>0</v>
      </c>
      <c r="CFU10" s="68">
        <f t="shared" ref="CFU10:CFU14" si="979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80">SUM(CFV10:CGA10)</f>
        <v>0</v>
      </c>
      <c r="CGC10" s="68">
        <f t="shared" ref="CGC10:CGC14" si="981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82">SUM(CGD10:CGI10)</f>
        <v>0</v>
      </c>
      <c r="CGK10" s="68">
        <f t="shared" ref="CGK10:CGK14" si="983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4">SUM(CGL10:CGQ10)</f>
        <v>0</v>
      </c>
      <c r="CGS10" s="68">
        <f t="shared" ref="CGS10:CGS14" si="985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6">SUM(CGT10:CGY10)</f>
        <v>0</v>
      </c>
      <c r="CHA10" s="68">
        <f t="shared" ref="CHA10:CHA14" si="987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8">SUM(CHB10:CHG10)</f>
        <v>0</v>
      </c>
      <c r="CHI10" s="68">
        <f t="shared" ref="CHI10:CHI14" si="989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90">SUM(CHJ10:CHO10)</f>
        <v>0</v>
      </c>
      <c r="CHQ10" s="68">
        <f t="shared" ref="CHQ10:CHQ14" si="991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92">SUM(CHR10:CHW10)</f>
        <v>0</v>
      </c>
      <c r="CHY10" s="68">
        <f t="shared" ref="CHY10:CHY14" si="993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4">SUM(CHZ10:CIE10)</f>
        <v>0</v>
      </c>
      <c r="CIG10" s="68">
        <f t="shared" ref="CIG10:CIG14" si="995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6">SUM(CIH10:CIM10)</f>
        <v>0</v>
      </c>
      <c r="CIO10" s="68">
        <f t="shared" ref="CIO10:CIO14" si="997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8">SUM(CIP10:CIU10)</f>
        <v>0</v>
      </c>
      <c r="CIW10" s="68">
        <f t="shared" ref="CIW10:CIW14" si="999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1000">SUM(CIX10:CJC10)</f>
        <v>0</v>
      </c>
      <c r="CJE10" s="43">
        <f t="shared" ref="CJE10:CJE14" si="1001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1002">SUM(CJF10:CJK10)</f>
        <v>0</v>
      </c>
      <c r="CJM10" s="43">
        <f t="shared" ref="CJM10:CJM14" si="1003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4">SUM(CJN10:CJS10)</f>
        <v>0</v>
      </c>
      <c r="CJU10" s="43">
        <f t="shared" ref="CJU10:CJU14" si="1005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6">SUM(CJV10:CKA10)</f>
        <v>0</v>
      </c>
      <c r="CKC10" s="43">
        <f t="shared" ref="CKC10:CKC14" si="1007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8">SUM(CKD10:CKI10)</f>
        <v>0</v>
      </c>
      <c r="CKK10" s="43">
        <f t="shared" ref="CKK10:CKK14" si="1009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10">SUM(CKL10:CKQ10)</f>
        <v>0</v>
      </c>
      <c r="CKS10" s="43">
        <f t="shared" ref="CKS10:CKS14" si="1011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12">SUM(CKT10:CKY10)</f>
        <v>0</v>
      </c>
      <c r="CLA10" s="43">
        <f t="shared" ref="CLA10:CLA14" si="1013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4">SUM(CLB10:CLG10)</f>
        <v>0</v>
      </c>
      <c r="CLI10" s="43">
        <f t="shared" ref="CLI10:CLI14" si="1015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6">SUM(CLJ10:CLO10)</f>
        <v>0</v>
      </c>
      <c r="CLQ10" s="43">
        <f t="shared" ref="CLQ10:CLQ14" si="1017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8">SUM(CLR10:CLW10)</f>
        <v>0</v>
      </c>
      <c r="CLY10" s="43">
        <f t="shared" ref="CLY10:CLY14" si="1019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20">SUM(CLZ10:CME10)</f>
        <v>0</v>
      </c>
      <c r="CMG10" s="43">
        <f t="shared" ref="CMG10:CMG14" si="1021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22">SUM(CMH10:CMM10)</f>
        <v>0</v>
      </c>
      <c r="CMO10" s="43">
        <f t="shared" ref="CMO10:CMO14" si="1023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4">SUM(CMP10:CMU10)</f>
        <v>0</v>
      </c>
      <c r="CMW10" s="43">
        <f t="shared" ref="CMW10:CMW16" si="1025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6">SUM(CMX10:CNC10)</f>
        <v>0</v>
      </c>
      <c r="CNE10" s="68">
        <f t="shared" ref="CNE10:CNE16" si="1027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7"/>
        <v>0</v>
      </c>
      <c r="CNM10" s="68">
        <f t="shared" si="228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9"/>
        <v>0</v>
      </c>
      <c r="CNU10" s="68">
        <f t="shared" si="230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1"/>
        <v>0</v>
      </c>
      <c r="COC10" s="68">
        <f t="shared" si="232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3"/>
        <v>0</v>
      </c>
      <c r="COK10" s="68">
        <f t="shared" si="234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5"/>
        <v>0</v>
      </c>
      <c r="COS10" s="68">
        <f t="shared" si="236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7"/>
        <v>0</v>
      </c>
      <c r="CPA10" s="68">
        <f t="shared" si="238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9"/>
        <v>0</v>
      </c>
      <c r="CPI10" s="68">
        <f t="shared" si="240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1"/>
        <v>0</v>
      </c>
      <c r="CPQ10" s="68">
        <f t="shared" si="242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3"/>
        <v>0</v>
      </c>
      <c r="CPY10" s="68">
        <f t="shared" si="244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5"/>
        <v>0</v>
      </c>
      <c r="CQG10" s="68">
        <f t="shared" si="246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7"/>
        <v>0</v>
      </c>
      <c r="CQO10" s="43">
        <f t="shared" si="248"/>
        <v>0</v>
      </c>
      <c r="CQP10" s="48"/>
      <c r="CQQ10" s="49"/>
      <c r="CQR10" s="49"/>
      <c r="CQS10" s="49"/>
      <c r="CQT10" s="49"/>
      <c r="CQU10" s="49"/>
      <c r="CQV10" s="127">
        <f t="shared" si="249"/>
        <v>0</v>
      </c>
      <c r="CQW10" s="43">
        <f t="shared" si="250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1"/>
        <v>338</v>
      </c>
      <c r="CRE10" s="43">
        <f t="shared" si="252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3"/>
        <v>0</v>
      </c>
      <c r="DKG10" s="68">
        <f t="shared" si="254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5"/>
        <v>0</v>
      </c>
      <c r="DKO10" s="68">
        <f t="shared" si="256"/>
        <v>0</v>
      </c>
      <c r="DKP10" s="48"/>
      <c r="DKQ10" s="49"/>
      <c r="DKR10" s="49"/>
      <c r="DKS10" s="49"/>
      <c r="DKT10" s="49"/>
      <c r="DKU10" s="49"/>
      <c r="DKV10" s="64">
        <f t="shared" si="257"/>
        <v>0</v>
      </c>
      <c r="DKW10" s="68">
        <f t="shared" si="258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9"/>
        <v>0</v>
      </c>
      <c r="DLE10" s="68">
        <f t="shared" si="260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1"/>
        <v>0</v>
      </c>
      <c r="DLM10" s="68">
        <f t="shared" si="262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3"/>
        <v>0</v>
      </c>
      <c r="DLU10" s="68">
        <f t="shared" si="264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5"/>
        <v>0</v>
      </c>
      <c r="DMC10" s="68">
        <f t="shared" si="266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7"/>
        <v>0</v>
      </c>
      <c r="DMK10" s="68">
        <f t="shared" si="268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9"/>
        <v>0</v>
      </c>
      <c r="DMS10" s="68">
        <f t="shared" si="270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1"/>
        <v>0</v>
      </c>
      <c r="DNA10" s="68">
        <f t="shared" si="272"/>
        <v>0</v>
      </c>
      <c r="DNB10" s="48"/>
      <c r="DNC10" s="49"/>
      <c r="DND10" s="49"/>
      <c r="DNE10" s="49"/>
      <c r="DNF10" s="49"/>
      <c r="DNG10" s="49"/>
      <c r="DNH10" s="64">
        <f t="shared" si="273"/>
        <v>0</v>
      </c>
      <c r="DNI10" s="68">
        <f t="shared" si="274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5"/>
        <v>0</v>
      </c>
      <c r="DNQ10" s="68">
        <f t="shared" si="276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7"/>
        <v>0</v>
      </c>
      <c r="DNY10" s="68">
        <f t="shared" si="278"/>
        <v>0</v>
      </c>
      <c r="DNZ10" s="48"/>
      <c r="DOA10" s="49"/>
      <c r="DOB10" s="49"/>
      <c r="DOC10" s="49"/>
      <c r="DOD10" s="49"/>
      <c r="DOE10" s="49"/>
      <c r="DOF10" s="64">
        <f t="shared" si="279"/>
        <v>0</v>
      </c>
      <c r="DOG10" s="68">
        <f t="shared" si="280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1"/>
        <v>0</v>
      </c>
      <c r="DOO10" s="68">
        <f t="shared" si="282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3"/>
        <v>0</v>
      </c>
      <c r="DOW10" s="68">
        <f t="shared" si="284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5"/>
        <v>0</v>
      </c>
      <c r="DPE10" s="68">
        <f t="shared" si="286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7"/>
        <v>0</v>
      </c>
      <c r="DPM10" s="68">
        <f t="shared" si="288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9"/>
        <v>0</v>
      </c>
      <c r="DPU10" s="68">
        <f t="shared" si="290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1"/>
        <v>0</v>
      </c>
      <c r="DQC10" s="68">
        <f t="shared" si="292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3"/>
        <v>0</v>
      </c>
      <c r="DQK10" s="68">
        <f t="shared" si="294"/>
        <v>0</v>
      </c>
      <c r="DQL10" s="48"/>
      <c r="DQM10" s="49"/>
      <c r="DQN10" s="49"/>
      <c r="DQO10" s="49"/>
      <c r="DQP10" s="49"/>
      <c r="DQQ10" s="49"/>
      <c r="DQR10" s="64">
        <f t="shared" si="295"/>
        <v>0</v>
      </c>
      <c r="DQS10" s="68">
        <f t="shared" si="296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7"/>
        <v>0</v>
      </c>
      <c r="DRA10" s="68">
        <f t="shared" si="298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9"/>
        <v>0</v>
      </c>
      <c r="DRI10" s="68">
        <f t="shared" si="300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1"/>
        <v>0</v>
      </c>
      <c r="DRQ10" s="68">
        <f t="shared" si="302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3"/>
        <v>0</v>
      </c>
      <c r="DRY10" s="68">
        <f t="shared" si="304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5"/>
        <v>0</v>
      </c>
      <c r="DSG10" s="68">
        <f t="shared" si="306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7"/>
        <v>0</v>
      </c>
      <c r="DSO10" s="68">
        <f t="shared" si="308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9"/>
        <v>0</v>
      </c>
      <c r="DSW10" s="68">
        <f t="shared" si="310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1"/>
        <v>0</v>
      </c>
      <c r="DTE10" s="68">
        <f t="shared" si="312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3"/>
        <v>0</v>
      </c>
      <c r="DTM10" s="68">
        <f t="shared" si="314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5"/>
        <v>0</v>
      </c>
      <c r="DTU10" s="68">
        <f t="shared" si="316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7"/>
        <v>0</v>
      </c>
      <c r="DUC10" s="68">
        <f t="shared" si="318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9"/>
        <v>0</v>
      </c>
      <c r="DUK10" s="68">
        <f t="shared" si="320"/>
        <v>0</v>
      </c>
      <c r="DUL10" s="48"/>
      <c r="DUM10" s="49"/>
      <c r="DUN10" s="49"/>
      <c r="DUO10" s="49"/>
      <c r="DUP10" s="49"/>
      <c r="DUQ10" s="49"/>
      <c r="DUR10" s="64">
        <f t="shared" si="321"/>
        <v>0</v>
      </c>
      <c r="DUS10" s="68">
        <f t="shared" si="322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3"/>
        <v>0</v>
      </c>
      <c r="DVA10" s="68">
        <f t="shared" si="324"/>
        <v>0</v>
      </c>
      <c r="DVB10" s="48"/>
      <c r="DVC10" s="49"/>
      <c r="DVD10" s="49"/>
      <c r="DVE10" s="49"/>
      <c r="DVF10" s="49"/>
      <c r="DVG10" s="49"/>
      <c r="DVH10" s="64">
        <f t="shared" si="325"/>
        <v>0</v>
      </c>
      <c r="DVI10" s="68">
        <f t="shared" si="326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7"/>
        <v>0</v>
      </c>
      <c r="DVQ10" s="68">
        <f t="shared" si="328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9"/>
        <v>0</v>
      </c>
      <c r="DVY10" s="68">
        <f t="shared" si="330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1"/>
        <v>0</v>
      </c>
      <c r="DWG10" s="68">
        <f t="shared" si="332"/>
        <v>0</v>
      </c>
      <c r="DWH10" s="48"/>
      <c r="DWI10" s="49"/>
      <c r="DWJ10" s="49"/>
      <c r="DWK10" s="49"/>
      <c r="DWL10" s="49"/>
      <c r="DWM10" s="49"/>
      <c r="DWN10" s="64">
        <f t="shared" si="333"/>
        <v>0</v>
      </c>
      <c r="DWO10" s="68">
        <f t="shared" si="334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5"/>
        <v>0</v>
      </c>
      <c r="DWW10" s="68">
        <f t="shared" si="336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7"/>
        <v>0</v>
      </c>
      <c r="DXE10" s="68">
        <f t="shared" si="338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9"/>
        <v>0</v>
      </c>
      <c r="DXM10" s="68">
        <f t="shared" si="340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1"/>
        <v>0</v>
      </c>
      <c r="DXU10" s="184">
        <f t="shared" si="342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3"/>
        <v>0</v>
      </c>
      <c r="DYD10" s="211">
        <f t="shared" si="344"/>
        <v>0</v>
      </c>
      <c r="DYE10" s="195"/>
      <c r="DYF10" s="49"/>
      <c r="DYG10" s="49"/>
      <c r="DYH10" s="49"/>
      <c r="DYI10" s="49"/>
      <c r="DYJ10" s="49"/>
      <c r="DYK10" s="64">
        <f t="shared" si="345"/>
        <v>0</v>
      </c>
      <c r="DYL10" s="211">
        <f t="shared" si="346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7"/>
        <v>0</v>
      </c>
      <c r="DYT10" s="211">
        <f t="shared" si="348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9"/>
        <v>0</v>
      </c>
      <c r="DZB10" s="211">
        <f t="shared" si="350"/>
        <v>0</v>
      </c>
      <c r="DZC10" s="195"/>
      <c r="DZD10" s="49"/>
      <c r="DZE10" s="49"/>
      <c r="DZF10" s="49"/>
      <c r="DZG10" s="49"/>
      <c r="DZH10" s="49"/>
      <c r="DZI10" s="64">
        <f t="shared" si="351"/>
        <v>0</v>
      </c>
      <c r="DZJ10" s="211">
        <f t="shared" si="352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3"/>
        <v>0</v>
      </c>
      <c r="DZR10" s="211">
        <f t="shared" si="354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5"/>
        <v>0</v>
      </c>
      <c r="DZZ10" s="211">
        <f t="shared" si="356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7"/>
        <v>0</v>
      </c>
      <c r="EAH10" s="211">
        <f t="shared" si="358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9"/>
        <v>0</v>
      </c>
      <c r="EAP10" s="211">
        <f t="shared" si="360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1"/>
        <v>0</v>
      </c>
      <c r="EAX10" s="211">
        <f t="shared" si="362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3"/>
        <v>0</v>
      </c>
      <c r="EBF10" s="211">
        <f t="shared" si="364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5"/>
        <v>0</v>
      </c>
      <c r="EBN10" s="211">
        <f t="shared" si="366"/>
        <v>0</v>
      </c>
      <c r="EBO10" s="195"/>
      <c r="EBP10" s="49"/>
      <c r="EBQ10" s="49"/>
      <c r="EBR10" s="49"/>
      <c r="EBS10" s="49"/>
      <c r="EBT10" s="49"/>
      <c r="EBU10" s="64">
        <f t="shared" si="367"/>
        <v>0</v>
      </c>
      <c r="EBV10" s="184">
        <f t="shared" si="368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9"/>
        <v>0</v>
      </c>
      <c r="ECD10" s="211">
        <f t="shared" si="370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1"/>
        <v>0</v>
      </c>
      <c r="ECL10" s="211">
        <f t="shared" si="372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3"/>
        <v>0</v>
      </c>
      <c r="ECT10" s="211">
        <f t="shared" si="374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5"/>
        <v>337</v>
      </c>
      <c r="EDB10" s="211">
        <f t="shared" si="376"/>
        <v>56.166666666666664</v>
      </c>
      <c r="EDC10" s="195"/>
      <c r="EDD10" s="49"/>
      <c r="EDE10" s="49"/>
      <c r="EDF10" s="49"/>
      <c r="EDG10" s="49"/>
      <c r="EDH10" s="49"/>
      <c r="EDI10" s="64">
        <f t="shared" si="377"/>
        <v>0</v>
      </c>
      <c r="EDJ10" s="211">
        <f t="shared" si="378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9"/>
        <v>308</v>
      </c>
      <c r="EDR10" s="211">
        <f t="shared" si="380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1"/>
        <v>0</v>
      </c>
      <c r="EDZ10" s="707">
        <f t="shared" si="382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3"/>
        <v>351</v>
      </c>
      <c r="EEH10" s="211">
        <f t="shared" si="384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5"/>
        <v>366</v>
      </c>
      <c r="EEP10" s="211">
        <f t="shared" si="386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7"/>
        <v>664</v>
      </c>
      <c r="EEX10" s="211">
        <f t="shared" si="388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9"/>
        <v>690</v>
      </c>
      <c r="EFF10" s="211">
        <f t="shared" si="390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1"/>
        <v>346</v>
      </c>
      <c r="EFN10" s="211">
        <f t="shared" si="392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3"/>
        <v>323</v>
      </c>
      <c r="EFV10" s="211">
        <f t="shared" si="394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5"/>
        <v>695</v>
      </c>
      <c r="EGD10" s="211">
        <f t="shared" si="396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7"/>
        <v>0</v>
      </c>
      <c r="EGL10" s="211">
        <f t="shared" si="398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9"/>
        <v>316</v>
      </c>
      <c r="EGT10" s="211">
        <f t="shared" si="400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1"/>
        <v>344</v>
      </c>
      <c r="EHB10" s="211">
        <f t="shared" si="402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3"/>
        <v>0</v>
      </c>
      <c r="EHJ10" s="211">
        <f t="shared" si="404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5"/>
        <v>283</v>
      </c>
      <c r="EHR10" s="211">
        <f t="shared" si="406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7"/>
        <v>0</v>
      </c>
      <c r="EHZ10" s="211">
        <f t="shared" si="408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9"/>
        <v>0</v>
      </c>
      <c r="EIH10" s="211">
        <f t="shared" si="410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1"/>
        <v>303</v>
      </c>
      <c r="EIP10" s="211">
        <f t="shared" si="412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3"/>
        <v>0</v>
      </c>
      <c r="EIX10" s="211">
        <f t="shared" si="414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5"/>
        <v>329</v>
      </c>
      <c r="EJF10" s="211">
        <f t="shared" si="416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7"/>
        <v>0</v>
      </c>
      <c r="EJN10" s="211">
        <f t="shared" si="418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9"/>
        <v>0</v>
      </c>
      <c r="EJV10" s="211">
        <f t="shared" si="420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1"/>
        <v>649</v>
      </c>
      <c r="EKD10" s="211">
        <f t="shared" si="422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3"/>
        <v>665</v>
      </c>
      <c r="EKL10" s="211">
        <f t="shared" si="424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5"/>
        <v>0</v>
      </c>
      <c r="EKT10" s="211">
        <f t="shared" si="426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7"/>
        <v>334</v>
      </c>
      <c r="ELB10" s="211">
        <f t="shared" si="428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9"/>
        <v>672</v>
      </c>
      <c r="ELJ10" s="211">
        <f t="shared" si="430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1"/>
        <v>970</v>
      </c>
      <c r="ELR10" s="211">
        <f t="shared" si="432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3"/>
        <v>0</v>
      </c>
      <c r="ELZ10" s="873">
        <f t="shared" si="434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5"/>
        <v>318</v>
      </c>
      <c r="EMH10" s="873">
        <f t="shared" si="436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7"/>
        <v>1031</v>
      </c>
      <c r="EMP10" s="873">
        <f t="shared" si="438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9"/>
        <v>0</v>
      </c>
      <c r="EMX10" s="873">
        <f t="shared" si="440"/>
        <v>0</v>
      </c>
      <c r="EMY10" s="195"/>
      <c r="EMZ10" s="49"/>
      <c r="ENA10" s="49"/>
      <c r="ENB10" s="49"/>
      <c r="ENC10" s="49"/>
      <c r="END10" s="49"/>
      <c r="ENE10" s="872">
        <f t="shared" si="441"/>
        <v>0</v>
      </c>
      <c r="ENF10" s="873">
        <f t="shared" si="442"/>
        <v>0</v>
      </c>
    </row>
    <row r="11" spans="1:3750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745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745</v>
      </c>
      <c r="M11" s="15">
        <f t="shared" ref="M11:M14" si="1028">K11+L11</f>
        <v>745</v>
      </c>
      <c r="N11" s="444">
        <v>113.16666666666667</v>
      </c>
      <c r="O11" s="276">
        <f t="shared" si="2"/>
        <v>6.5832106038291602</v>
      </c>
      <c r="P11" s="277">
        <f t="shared" si="443"/>
        <v>480</v>
      </c>
      <c r="Q11" s="276">
        <f t="shared" si="3"/>
        <v>9.3125</v>
      </c>
      <c r="R11" s="277">
        <f t="shared" si="226"/>
        <v>110.76923076923077</v>
      </c>
      <c r="S11" s="222">
        <v>2880</v>
      </c>
      <c r="T11" s="276">
        <f t="shared" si="4"/>
        <v>6.7256944444444438</v>
      </c>
      <c r="U11" s="278"/>
      <c r="V11" s="302">
        <f t="shared" si="5"/>
        <v>6.7256944444444438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6"/>
        <v>200</v>
      </c>
      <c r="BNS11" s="211">
        <f t="shared" si="867"/>
        <v>33.333333333333336</v>
      </c>
      <c r="BNT11" s="195"/>
      <c r="BNU11" s="49"/>
      <c r="BNV11" s="49"/>
      <c r="BNW11" s="49"/>
      <c r="BNX11" s="49"/>
      <c r="BNY11" s="49"/>
      <c r="BNZ11" s="67">
        <f t="shared" si="868"/>
        <v>0</v>
      </c>
      <c r="BOA11" s="184">
        <f t="shared" si="869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70"/>
        <v>200</v>
      </c>
      <c r="BOI11" s="68">
        <f t="shared" si="871"/>
        <v>33.333333333333336</v>
      </c>
      <c r="BOJ11" s="48"/>
      <c r="BOK11" s="49"/>
      <c r="BOL11" s="49"/>
      <c r="BOM11" s="49"/>
      <c r="BON11" s="49"/>
      <c r="BOO11" s="49"/>
      <c r="BOP11" s="67">
        <f t="shared" si="872"/>
        <v>0</v>
      </c>
      <c r="BOQ11" s="68">
        <f t="shared" si="873"/>
        <v>0</v>
      </c>
      <c r="BOR11" s="48"/>
      <c r="BOS11" s="49"/>
      <c r="BOT11" s="49"/>
      <c r="BOU11" s="49"/>
      <c r="BOV11" s="49"/>
      <c r="BOW11" s="49"/>
      <c r="BOX11" s="67">
        <f t="shared" si="874"/>
        <v>0</v>
      </c>
      <c r="BOY11" s="68">
        <f t="shared" si="875"/>
        <v>0</v>
      </c>
      <c r="BOZ11" s="48"/>
      <c r="BPA11" s="49"/>
      <c r="BPB11" s="49"/>
      <c r="BPC11" s="49"/>
      <c r="BPD11" s="49"/>
      <c r="BPE11" s="49"/>
      <c r="BPF11" s="67">
        <f t="shared" si="876"/>
        <v>0</v>
      </c>
      <c r="BPG11" s="68">
        <f t="shared" si="877"/>
        <v>0</v>
      </c>
      <c r="BPH11" s="48"/>
      <c r="BPI11" s="49"/>
      <c r="BPJ11" s="49"/>
      <c r="BPK11" s="49"/>
      <c r="BPL11" s="49"/>
      <c r="BPM11" s="49"/>
      <c r="BPN11" s="67">
        <f t="shared" si="878"/>
        <v>0</v>
      </c>
      <c r="BPO11" s="68">
        <f t="shared" si="879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80"/>
        <v>100</v>
      </c>
      <c r="BPW11" s="68">
        <f t="shared" si="881"/>
        <v>16.666666666666668</v>
      </c>
      <c r="BPX11" s="48"/>
      <c r="BPY11" s="49"/>
      <c r="BPZ11" s="49"/>
      <c r="BQA11" s="49"/>
      <c r="BQB11" s="49"/>
      <c r="BQC11" s="49"/>
      <c r="BQD11" s="67">
        <f t="shared" si="882"/>
        <v>0</v>
      </c>
      <c r="BQE11" s="68">
        <f t="shared" si="883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4"/>
        <v>119</v>
      </c>
      <c r="BQM11" s="68">
        <f t="shared" si="885"/>
        <v>19.833333333333332</v>
      </c>
      <c r="BQN11" s="48"/>
      <c r="BQO11" s="49"/>
      <c r="BQP11" s="49"/>
      <c r="BQQ11" s="49"/>
      <c r="BQR11" s="49"/>
      <c r="BQS11" s="49"/>
      <c r="BQT11" s="67">
        <f t="shared" si="886"/>
        <v>0</v>
      </c>
      <c r="BQU11" s="68">
        <f t="shared" si="887"/>
        <v>0</v>
      </c>
      <c r="BQV11" s="48"/>
      <c r="BQW11" s="49"/>
      <c r="BQX11" s="49"/>
      <c r="BQY11" s="49"/>
      <c r="BQZ11" s="49"/>
      <c r="BRA11" s="49"/>
      <c r="BRB11" s="67">
        <f t="shared" si="888"/>
        <v>0</v>
      </c>
      <c r="BRC11" s="68">
        <f t="shared" si="889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90"/>
        <v>79</v>
      </c>
      <c r="BRK11" s="68">
        <f t="shared" si="891"/>
        <v>13.166666666666666</v>
      </c>
      <c r="BRL11" s="48"/>
      <c r="BRM11" s="49"/>
      <c r="BRN11" s="49"/>
      <c r="BRO11" s="49"/>
      <c r="BRP11" s="49"/>
      <c r="BRQ11" s="49"/>
      <c r="BRR11" s="67">
        <f t="shared" si="892"/>
        <v>0</v>
      </c>
      <c r="BRS11" s="68">
        <f t="shared" si="893"/>
        <v>0</v>
      </c>
      <c r="BRT11" s="48"/>
      <c r="BRU11" s="49"/>
      <c r="BRV11" s="49"/>
      <c r="BRW11" s="49"/>
      <c r="BRX11" s="49"/>
      <c r="BRY11" s="49"/>
      <c r="BRZ11" s="67">
        <f t="shared" si="894"/>
        <v>0</v>
      </c>
      <c r="BSA11" s="68">
        <f t="shared" si="895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6"/>
        <v>140</v>
      </c>
      <c r="BSI11" s="68">
        <f t="shared" si="897"/>
        <v>23.333333333333332</v>
      </c>
      <c r="BSJ11" s="48"/>
      <c r="BSK11" s="49"/>
      <c r="BSL11" s="49"/>
      <c r="BSM11" s="49"/>
      <c r="BSN11" s="49"/>
      <c r="BSO11" s="49"/>
      <c r="BSP11" s="67">
        <f t="shared" si="898"/>
        <v>0</v>
      </c>
      <c r="BSQ11" s="68">
        <f t="shared" si="899"/>
        <v>0</v>
      </c>
      <c r="BSR11" s="48"/>
      <c r="BSS11" s="49"/>
      <c r="BST11" s="49"/>
      <c r="BSU11" s="49"/>
      <c r="BSV11" s="49"/>
      <c r="BSW11" s="49"/>
      <c r="BSX11" s="67">
        <f t="shared" si="900"/>
        <v>0</v>
      </c>
      <c r="BSY11" s="68">
        <f t="shared" si="901"/>
        <v>0</v>
      </c>
      <c r="BSZ11" s="48"/>
      <c r="BTA11" s="49"/>
      <c r="BTB11" s="49"/>
      <c r="BTC11" s="49"/>
      <c r="BTD11" s="49"/>
      <c r="BTE11" s="49"/>
      <c r="BTF11" s="67">
        <f t="shared" si="902"/>
        <v>0</v>
      </c>
      <c r="BTG11" s="68">
        <f t="shared" si="903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4"/>
        <v>100</v>
      </c>
      <c r="BTO11" s="68">
        <f t="shared" si="905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6"/>
        <v>94</v>
      </c>
      <c r="BTW11" s="68">
        <f t="shared" si="907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8"/>
        <v>100</v>
      </c>
      <c r="BUE11" s="68">
        <f t="shared" si="909"/>
        <v>16.666666666666668</v>
      </c>
      <c r="BUF11" s="48"/>
      <c r="BUG11" s="49"/>
      <c r="BUH11" s="49"/>
      <c r="BUI11" s="49"/>
      <c r="BUJ11" s="49"/>
      <c r="BUK11" s="49"/>
      <c r="BUL11" s="67">
        <f t="shared" si="910"/>
        <v>0</v>
      </c>
      <c r="BUM11" s="68">
        <f t="shared" si="911"/>
        <v>0</v>
      </c>
      <c r="BUN11" s="48"/>
      <c r="BUO11" s="49"/>
      <c r="BUP11" s="49"/>
      <c r="BUQ11" s="49"/>
      <c r="BUR11" s="49"/>
      <c r="BUS11" s="49"/>
      <c r="BUT11" s="67">
        <f t="shared" si="912"/>
        <v>0</v>
      </c>
      <c r="BUU11" s="68">
        <f t="shared" si="913"/>
        <v>0</v>
      </c>
      <c r="BUV11" s="48"/>
      <c r="BUW11" s="49"/>
      <c r="BUX11" s="49"/>
      <c r="BUY11" s="49"/>
      <c r="BUZ11" s="49"/>
      <c r="BVA11" s="49"/>
      <c r="BVB11" s="67">
        <f t="shared" si="914"/>
        <v>0</v>
      </c>
      <c r="BVC11" s="68">
        <f t="shared" si="915"/>
        <v>0</v>
      </c>
      <c r="BVD11" s="48"/>
      <c r="BVE11" s="49"/>
      <c r="BVF11" s="49"/>
      <c r="BVG11" s="49"/>
      <c r="BVH11" s="49"/>
      <c r="BVI11" s="49"/>
      <c r="BVJ11" s="67">
        <f t="shared" si="916"/>
        <v>0</v>
      </c>
      <c r="BVK11" s="68">
        <f t="shared" si="917"/>
        <v>0</v>
      </c>
      <c r="BVL11" s="48"/>
      <c r="BVM11" s="49"/>
      <c r="BVN11" s="49"/>
      <c r="BVO11" s="49"/>
      <c r="BVP11" s="49"/>
      <c r="BVQ11" s="49"/>
      <c r="BVR11" s="67">
        <f t="shared" si="918"/>
        <v>0</v>
      </c>
      <c r="BVS11" s="68">
        <f t="shared" si="919"/>
        <v>0</v>
      </c>
      <c r="BVT11" s="48"/>
      <c r="BVU11" s="49"/>
      <c r="BVV11" s="49"/>
      <c r="BVW11" s="49"/>
      <c r="BVX11" s="49"/>
      <c r="BVY11" s="49"/>
      <c r="BVZ11" s="67">
        <f t="shared" si="920"/>
        <v>0</v>
      </c>
      <c r="BWA11" s="68">
        <f t="shared" si="921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22"/>
        <v>400</v>
      </c>
      <c r="BWI11" s="68">
        <f t="shared" si="923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4"/>
        <v>199</v>
      </c>
      <c r="BWQ11" s="68">
        <f t="shared" si="925"/>
        <v>33.166666666666664</v>
      </c>
      <c r="BWR11" s="48"/>
      <c r="BWS11" s="49"/>
      <c r="BWT11" s="49"/>
      <c r="BWU11" s="49"/>
      <c r="BWV11" s="49"/>
      <c r="BWW11" s="49"/>
      <c r="BWX11" s="67">
        <f t="shared" si="926"/>
        <v>0</v>
      </c>
      <c r="BWY11" s="68">
        <f t="shared" si="927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8"/>
        <v>220</v>
      </c>
      <c r="BXG11" s="68">
        <f t="shared" si="929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30"/>
        <v>202</v>
      </c>
      <c r="BXO11" s="68">
        <f t="shared" si="931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32"/>
        <v>440</v>
      </c>
      <c r="BXW11" s="68">
        <f t="shared" si="933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4"/>
        <v>219</v>
      </c>
      <c r="BYE11" s="68">
        <f t="shared" si="935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6"/>
        <v>435</v>
      </c>
      <c r="BYM11" s="68">
        <f t="shared" si="937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8"/>
        <v>200</v>
      </c>
      <c r="BYU11" s="68">
        <f t="shared" si="939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40"/>
        <v>81</v>
      </c>
      <c r="BZC11" s="68">
        <f t="shared" si="941"/>
        <v>13.5</v>
      </c>
      <c r="BZD11" s="239"/>
      <c r="BZE11" s="1"/>
      <c r="BZF11" s="1"/>
      <c r="BZG11" s="1"/>
      <c r="BZH11" s="1"/>
      <c r="BZI11" s="1"/>
      <c r="BZJ11" s="67">
        <f t="shared" si="942"/>
        <v>0</v>
      </c>
      <c r="BZK11" s="68">
        <f t="shared" si="943"/>
        <v>0</v>
      </c>
      <c r="BZL11" s="48"/>
      <c r="BZM11" s="49"/>
      <c r="BZN11" s="49"/>
      <c r="BZO11" s="49"/>
      <c r="BZP11" s="49"/>
      <c r="BZQ11" s="49"/>
      <c r="BZR11" s="67">
        <f t="shared" si="944"/>
        <v>0</v>
      </c>
      <c r="BZS11" s="68">
        <f t="shared" si="945"/>
        <v>0</v>
      </c>
      <c r="BZT11" s="48"/>
      <c r="BZU11" s="49"/>
      <c r="BZV11" s="49"/>
      <c r="BZW11" s="49"/>
      <c r="BZX11" s="49"/>
      <c r="BZY11" s="49"/>
      <c r="BZZ11" s="67">
        <f t="shared" si="946"/>
        <v>0</v>
      </c>
      <c r="CAA11" s="68">
        <f t="shared" si="947"/>
        <v>0</v>
      </c>
      <c r="CAB11" s="48"/>
      <c r="CAC11" s="49"/>
      <c r="CAD11" s="49"/>
      <c r="CAE11" s="49"/>
      <c r="CAF11" s="49"/>
      <c r="CAG11" s="49"/>
      <c r="CAH11" s="67">
        <f t="shared" si="948"/>
        <v>0</v>
      </c>
      <c r="CAI11" s="68">
        <f t="shared" si="949"/>
        <v>0</v>
      </c>
      <c r="CAJ11" s="48"/>
      <c r="CAK11" s="49"/>
      <c r="CAL11" s="49"/>
      <c r="CAM11" s="49"/>
      <c r="CAN11" s="49"/>
      <c r="CAO11" s="49"/>
      <c r="CAP11" s="67">
        <f t="shared" si="950"/>
        <v>0</v>
      </c>
      <c r="CAQ11" s="68">
        <f t="shared" si="951"/>
        <v>0</v>
      </c>
      <c r="CAR11" s="201"/>
      <c r="CAS11" s="47"/>
      <c r="CAT11" s="47"/>
      <c r="CAU11" s="47"/>
      <c r="CAV11" s="47"/>
      <c r="CAW11" s="47"/>
      <c r="CAX11" s="67">
        <f t="shared" si="952"/>
        <v>0</v>
      </c>
      <c r="CAY11" s="68">
        <f t="shared" si="953"/>
        <v>0</v>
      </c>
      <c r="CAZ11" s="63"/>
      <c r="CBA11" s="64"/>
      <c r="CBB11" s="64"/>
      <c r="CBC11" s="64"/>
      <c r="CBD11" s="64"/>
      <c r="CBE11" s="64"/>
      <c r="CBF11" s="67">
        <f t="shared" si="954"/>
        <v>0</v>
      </c>
      <c r="CBG11" s="68">
        <f t="shared" si="955"/>
        <v>0</v>
      </c>
      <c r="CBH11" s="48"/>
      <c r="CBI11" s="49"/>
      <c r="CBJ11" s="49"/>
      <c r="CBK11" s="49"/>
      <c r="CBL11" s="49"/>
      <c r="CBM11" s="49"/>
      <c r="CBN11" s="67">
        <f t="shared" si="956"/>
        <v>0</v>
      </c>
      <c r="CBO11" s="68">
        <f t="shared" si="957"/>
        <v>0</v>
      </c>
      <c r="CBP11" s="48"/>
      <c r="CBQ11" s="49"/>
      <c r="CBR11" s="49"/>
      <c r="CBS11" s="49"/>
      <c r="CBT11" s="49"/>
      <c r="CBU11" s="49"/>
      <c r="CBV11" s="67">
        <f t="shared" si="958"/>
        <v>0</v>
      </c>
      <c r="CBW11" s="68">
        <f t="shared" si="959"/>
        <v>0</v>
      </c>
      <c r="CBX11" s="48"/>
      <c r="CBY11" s="49"/>
      <c r="CBZ11" s="49"/>
      <c r="CCA11" s="49"/>
      <c r="CCB11" s="49"/>
      <c r="CCC11" s="49"/>
      <c r="CCD11" s="67">
        <f t="shared" si="960"/>
        <v>0</v>
      </c>
      <c r="CCE11" s="68">
        <f t="shared" si="961"/>
        <v>0</v>
      </c>
      <c r="CCF11" s="48"/>
      <c r="CCG11" s="49"/>
      <c r="CCH11" s="49"/>
      <c r="CCI11" s="49"/>
      <c r="CCJ11" s="49"/>
      <c r="CCK11" s="49"/>
      <c r="CCL11" s="67">
        <f t="shared" si="962"/>
        <v>0</v>
      </c>
      <c r="CCM11" s="68">
        <f t="shared" si="963"/>
        <v>0</v>
      </c>
      <c r="CCN11" s="48"/>
      <c r="CCO11" s="49"/>
      <c r="CCP11" s="49"/>
      <c r="CCQ11" s="49"/>
      <c r="CCR11" s="49"/>
      <c r="CCS11" s="49"/>
      <c r="CCT11" s="67">
        <f t="shared" si="964"/>
        <v>0</v>
      </c>
      <c r="CCU11" s="68">
        <f t="shared" si="965"/>
        <v>0</v>
      </c>
      <c r="CCV11" s="48"/>
      <c r="CCW11" s="49"/>
      <c r="CCX11" s="49"/>
      <c r="CCY11" s="49"/>
      <c r="CCZ11" s="49"/>
      <c r="CDA11" s="49"/>
      <c r="CDB11" s="67">
        <f t="shared" si="966"/>
        <v>0</v>
      </c>
      <c r="CDC11" s="68">
        <f t="shared" si="967"/>
        <v>0</v>
      </c>
      <c r="CDD11" s="201"/>
      <c r="CDE11" s="47"/>
      <c r="CDF11" s="47"/>
      <c r="CDG11" s="47"/>
      <c r="CDH11" s="47"/>
      <c r="CDI11" s="47"/>
      <c r="CDJ11" s="67">
        <f t="shared" si="968"/>
        <v>0</v>
      </c>
      <c r="CDK11" s="68">
        <f t="shared" si="969"/>
        <v>0</v>
      </c>
      <c r="CDL11" s="48"/>
      <c r="CDM11" s="49"/>
      <c r="CDN11" s="49"/>
      <c r="CDO11" s="49"/>
      <c r="CDP11" s="49"/>
      <c r="CDQ11" s="49"/>
      <c r="CDR11" s="67">
        <f t="shared" si="970"/>
        <v>0</v>
      </c>
      <c r="CDS11" s="68">
        <f t="shared" si="971"/>
        <v>0</v>
      </c>
      <c r="CDT11" s="48"/>
      <c r="CDU11" s="49"/>
      <c r="CDV11" s="49"/>
      <c r="CDW11" s="49"/>
      <c r="CDX11" s="49"/>
      <c r="CDY11" s="49"/>
      <c r="CDZ11" s="67">
        <f t="shared" si="972"/>
        <v>0</v>
      </c>
      <c r="CEA11" s="68">
        <f t="shared" si="973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4"/>
        <v>0</v>
      </c>
      <c r="CFE11" s="68">
        <f t="shared" si="975"/>
        <v>0</v>
      </c>
      <c r="CFF11" s="48"/>
      <c r="CFG11" s="49"/>
      <c r="CFH11" s="49"/>
      <c r="CFI11" s="49"/>
      <c r="CFJ11" s="49"/>
      <c r="CFK11" s="49"/>
      <c r="CFL11" s="64">
        <f t="shared" si="976"/>
        <v>0</v>
      </c>
      <c r="CFM11" s="68">
        <f t="shared" si="977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8"/>
        <v>0</v>
      </c>
      <c r="CFU11" s="68">
        <f t="shared" si="979"/>
        <v>0</v>
      </c>
      <c r="CFV11" s="48"/>
      <c r="CFW11" s="49"/>
      <c r="CFX11" s="49"/>
      <c r="CFY11" s="49"/>
      <c r="CFZ11" s="49"/>
      <c r="CGA11" s="49"/>
      <c r="CGB11" s="64">
        <f t="shared" si="980"/>
        <v>0</v>
      </c>
      <c r="CGC11" s="68">
        <f t="shared" si="981"/>
        <v>0</v>
      </c>
      <c r="CGD11" s="48"/>
      <c r="CGE11" s="49"/>
      <c r="CGF11" s="49"/>
      <c r="CGG11" s="49"/>
      <c r="CGH11" s="49"/>
      <c r="CGI11" s="49"/>
      <c r="CGJ11" s="64">
        <f t="shared" si="982"/>
        <v>0</v>
      </c>
      <c r="CGK11" s="68">
        <f t="shared" si="983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4"/>
        <v>0</v>
      </c>
      <c r="CGS11" s="68">
        <f t="shared" si="985"/>
        <v>0</v>
      </c>
      <c r="CGT11" s="48"/>
      <c r="CGU11" s="49"/>
      <c r="CGV11" s="49"/>
      <c r="CGW11" s="49"/>
      <c r="CGX11" s="49"/>
      <c r="CGY11" s="49"/>
      <c r="CGZ11" s="64">
        <f t="shared" si="986"/>
        <v>0</v>
      </c>
      <c r="CHA11" s="68">
        <f t="shared" si="987"/>
        <v>0</v>
      </c>
      <c r="CHB11" s="48"/>
      <c r="CHC11" s="49"/>
      <c r="CHD11" s="49"/>
      <c r="CHE11" s="49"/>
      <c r="CHF11" s="49"/>
      <c r="CHG11" s="49"/>
      <c r="CHH11" s="64">
        <f t="shared" si="988"/>
        <v>0</v>
      </c>
      <c r="CHI11" s="68">
        <f t="shared" si="989"/>
        <v>0</v>
      </c>
      <c r="CHJ11" s="48"/>
      <c r="CHK11" s="49"/>
      <c r="CHL11" s="49"/>
      <c r="CHM11" s="49"/>
      <c r="CHN11" s="49"/>
      <c r="CHO11" s="49"/>
      <c r="CHP11" s="64">
        <f t="shared" si="990"/>
        <v>0</v>
      </c>
      <c r="CHQ11" s="68">
        <f t="shared" si="991"/>
        <v>0</v>
      </c>
      <c r="CHR11" s="48"/>
      <c r="CHS11" s="49"/>
      <c r="CHT11" s="49"/>
      <c r="CHU11" s="49"/>
      <c r="CHV11" s="49"/>
      <c r="CHW11" s="49"/>
      <c r="CHX11" s="64">
        <f t="shared" si="992"/>
        <v>0</v>
      </c>
      <c r="CHY11" s="68">
        <f t="shared" si="993"/>
        <v>0</v>
      </c>
      <c r="CHZ11" s="48"/>
      <c r="CIA11" s="49"/>
      <c r="CIB11" s="49"/>
      <c r="CIC11" s="49"/>
      <c r="CID11" s="49"/>
      <c r="CIE11" s="49"/>
      <c r="CIF11" s="64">
        <f t="shared" si="994"/>
        <v>0</v>
      </c>
      <c r="CIG11" s="68">
        <f t="shared" si="995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6"/>
        <v>0</v>
      </c>
      <c r="CIO11" s="68">
        <f t="shared" si="997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8"/>
        <v>0</v>
      </c>
      <c r="CIW11" s="68">
        <f t="shared" si="999"/>
        <v>0</v>
      </c>
      <c r="CIX11" s="48"/>
      <c r="CIY11" s="49"/>
      <c r="CIZ11" s="49"/>
      <c r="CJA11" s="49"/>
      <c r="CJB11" s="49"/>
      <c r="CJC11" s="49"/>
      <c r="CJD11" s="127">
        <f t="shared" si="1000"/>
        <v>0</v>
      </c>
      <c r="CJE11" s="43">
        <f t="shared" si="1001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1002"/>
        <v>743</v>
      </c>
      <c r="CJM11" s="43">
        <f t="shared" si="1003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4"/>
        <v>0</v>
      </c>
      <c r="CJU11" s="43">
        <f t="shared" si="1005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6"/>
        <v>0</v>
      </c>
      <c r="CKC11" s="43">
        <f t="shared" si="1007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8"/>
        <v>0</v>
      </c>
      <c r="CKK11" s="43">
        <f t="shared" si="1009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10"/>
        <v>0</v>
      </c>
      <c r="CKS11" s="43">
        <f t="shared" si="1011"/>
        <v>0</v>
      </c>
      <c r="CKT11" s="48"/>
      <c r="CKU11" s="49"/>
      <c r="CKV11" s="49"/>
      <c r="CKW11" s="49"/>
      <c r="CKX11" s="49"/>
      <c r="CKY11" s="49"/>
      <c r="CKZ11" s="127">
        <f t="shared" si="1012"/>
        <v>0</v>
      </c>
      <c r="CLA11" s="43">
        <f t="shared" si="1013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4"/>
        <v>322</v>
      </c>
      <c r="CLI11" s="43">
        <f t="shared" si="1015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6"/>
        <v>0</v>
      </c>
      <c r="CLQ11" s="43">
        <f t="shared" si="1017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8"/>
        <v>0</v>
      </c>
      <c r="CLY11" s="43">
        <f t="shared" si="1019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20"/>
        <v>0</v>
      </c>
      <c r="CMG11" s="43">
        <f t="shared" si="1021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22"/>
        <v>0</v>
      </c>
      <c r="CMO11" s="43">
        <f t="shared" si="1023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4"/>
        <v>0</v>
      </c>
      <c r="CMW11" s="43">
        <f t="shared" si="1025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6"/>
        <v>0</v>
      </c>
      <c r="CNE11" s="68">
        <f t="shared" si="1027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7"/>
        <v>327</v>
      </c>
      <c r="CNM11" s="68">
        <f t="shared" si="228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9"/>
        <v>322</v>
      </c>
      <c r="CNU11" s="68">
        <f t="shared" si="230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1"/>
        <v>0</v>
      </c>
      <c r="COC11" s="68">
        <f t="shared" si="232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3"/>
        <v>0</v>
      </c>
      <c r="COK11" s="68">
        <f t="shared" si="234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5"/>
        <v>0</v>
      </c>
      <c r="COS11" s="68">
        <f t="shared" si="236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7"/>
        <v>0</v>
      </c>
      <c r="CPA11" s="68">
        <f t="shared" si="238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9"/>
        <v>0</v>
      </c>
      <c r="CPI11" s="68">
        <f t="shared" si="240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1"/>
        <v>0</v>
      </c>
      <c r="CPQ11" s="68">
        <f t="shared" si="242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3"/>
        <v>0</v>
      </c>
      <c r="CPY11" s="68">
        <f t="shared" si="244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5"/>
        <v>0</v>
      </c>
      <c r="CQG11" s="68">
        <f t="shared" si="246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7"/>
        <v>269</v>
      </c>
      <c r="CQO11" s="43">
        <f t="shared" si="248"/>
        <v>44.833333333333336</v>
      </c>
      <c r="CQP11" s="48"/>
      <c r="CQQ11" s="49"/>
      <c r="CQR11" s="49"/>
      <c r="CQS11" s="49"/>
      <c r="CQT11" s="49"/>
      <c r="CQU11" s="49"/>
      <c r="CQV11" s="127">
        <f t="shared" si="249"/>
        <v>0</v>
      </c>
      <c r="CQW11" s="43">
        <f t="shared" si="250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1"/>
        <v>321</v>
      </c>
      <c r="CRE11" s="43">
        <f t="shared" si="252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3"/>
        <v>671</v>
      </c>
      <c r="DKG11" s="68">
        <f t="shared" si="254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5"/>
        <v>685</v>
      </c>
      <c r="DKO11" s="68">
        <f t="shared" si="256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7"/>
        <v>1280</v>
      </c>
      <c r="DKW11" s="68">
        <f t="shared" si="258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9"/>
        <v>1976</v>
      </c>
      <c r="DLE11" s="68">
        <f t="shared" si="260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1"/>
        <v>0</v>
      </c>
      <c r="DLM11" s="68">
        <f t="shared" si="262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3"/>
        <v>0</v>
      </c>
      <c r="DLU11" s="68">
        <f t="shared" si="264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5"/>
        <v>1297</v>
      </c>
      <c r="DMC11" s="68">
        <f t="shared" si="266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7"/>
        <v>0</v>
      </c>
      <c r="DMK11" s="68">
        <f t="shared" si="268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9"/>
        <v>0</v>
      </c>
      <c r="DMS11" s="68">
        <f t="shared" si="270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1"/>
        <v>1624</v>
      </c>
      <c r="DNA11" s="68">
        <f t="shared" si="272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3"/>
        <v>328</v>
      </c>
      <c r="DNI11" s="68">
        <f t="shared" si="274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5"/>
        <v>321</v>
      </c>
      <c r="DNQ11" s="68">
        <f t="shared" si="276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7"/>
        <v>331</v>
      </c>
      <c r="DNY11" s="68">
        <f t="shared" si="278"/>
        <v>55.166666666666664</v>
      </c>
      <c r="DNZ11" s="48"/>
      <c r="DOA11" s="49"/>
      <c r="DOB11" s="49"/>
      <c r="DOC11" s="49"/>
      <c r="DOD11" s="49"/>
      <c r="DOE11" s="49"/>
      <c r="DOF11" s="64">
        <f t="shared" si="279"/>
        <v>0</v>
      </c>
      <c r="DOG11" s="68">
        <f t="shared" si="280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1"/>
        <v>980</v>
      </c>
      <c r="DOO11" s="68">
        <f t="shared" si="282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3"/>
        <v>0</v>
      </c>
      <c r="DOW11" s="68">
        <f t="shared" si="284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5"/>
        <v>302</v>
      </c>
      <c r="DPE11" s="68">
        <f t="shared" si="286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7"/>
        <v>346</v>
      </c>
      <c r="DPM11" s="68">
        <f t="shared" si="288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9"/>
        <v>337</v>
      </c>
      <c r="DPU11" s="68">
        <f t="shared" si="290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1"/>
        <v>349</v>
      </c>
      <c r="DQC11" s="68">
        <f t="shared" si="292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3"/>
        <v>0</v>
      </c>
      <c r="DQK11" s="68">
        <f t="shared" si="294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5"/>
        <v>335</v>
      </c>
      <c r="DQS11" s="68">
        <f t="shared" si="296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7"/>
        <v>1369</v>
      </c>
      <c r="DRA11" s="68">
        <f t="shared" si="298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9"/>
        <v>0</v>
      </c>
      <c r="DRI11" s="68">
        <f t="shared" si="300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1"/>
        <v>733</v>
      </c>
      <c r="DRQ11" s="68">
        <f t="shared" si="302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3"/>
        <v>352</v>
      </c>
      <c r="DRY11" s="68">
        <f t="shared" si="304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5"/>
        <v>1030</v>
      </c>
      <c r="DSG11" s="68">
        <f t="shared" si="306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7"/>
        <v>1015</v>
      </c>
      <c r="DSO11" s="68">
        <f t="shared" si="308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9"/>
        <v>1506</v>
      </c>
      <c r="DSW11" s="68">
        <f t="shared" si="310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1"/>
        <v>1598</v>
      </c>
      <c r="DTE11" s="68">
        <f t="shared" si="312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3"/>
        <v>0</v>
      </c>
      <c r="DTM11" s="68">
        <f t="shared" si="314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5"/>
        <v>1030</v>
      </c>
      <c r="DTU11" s="68">
        <f t="shared" si="316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7"/>
        <v>0</v>
      </c>
      <c r="DUC11" s="68">
        <f t="shared" si="318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9"/>
        <v>1066</v>
      </c>
      <c r="DUK11" s="68">
        <f t="shared" si="320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1"/>
        <v>1126</v>
      </c>
      <c r="DUS11" s="68">
        <f t="shared" si="322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3"/>
        <v>2096</v>
      </c>
      <c r="DVA11" s="68">
        <f t="shared" si="324"/>
        <v>349.33333333333331</v>
      </c>
      <c r="DVB11" s="48"/>
      <c r="DVC11" s="49"/>
      <c r="DVD11" s="49"/>
      <c r="DVE11" s="49"/>
      <c r="DVF11" s="49"/>
      <c r="DVG11" s="49"/>
      <c r="DVH11" s="64">
        <f t="shared" si="325"/>
        <v>0</v>
      </c>
      <c r="DVI11" s="68">
        <f t="shared" si="326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7"/>
        <v>1346</v>
      </c>
      <c r="DVQ11" s="68">
        <f t="shared" si="328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9"/>
        <v>0</v>
      </c>
      <c r="DVY11" s="68">
        <f t="shared" si="330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1"/>
        <v>683</v>
      </c>
      <c r="DWG11" s="68">
        <f t="shared" si="332"/>
        <v>113.83333333333333</v>
      </c>
      <c r="DWH11" s="48"/>
      <c r="DWI11" s="49"/>
      <c r="DWJ11" s="49"/>
      <c r="DWK11" s="49"/>
      <c r="DWL11" s="49"/>
      <c r="DWM11" s="49"/>
      <c r="DWN11" s="64">
        <f t="shared" si="333"/>
        <v>0</v>
      </c>
      <c r="DWO11" s="68">
        <f t="shared" si="334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5"/>
        <v>700</v>
      </c>
      <c r="DWW11" s="68">
        <f t="shared" si="336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7"/>
        <v>666</v>
      </c>
      <c r="DXE11" s="68">
        <f t="shared" si="338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9"/>
        <v>0</v>
      </c>
      <c r="DXM11" s="68">
        <f t="shared" si="340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1"/>
        <v>342</v>
      </c>
      <c r="DXU11" s="184">
        <f t="shared" si="342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3"/>
        <v>0</v>
      </c>
      <c r="DYD11" s="211">
        <f t="shared" si="344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5"/>
        <v>358</v>
      </c>
      <c r="DYL11" s="211">
        <f t="shared" si="346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7"/>
        <v>0</v>
      </c>
      <c r="DYT11" s="211">
        <f t="shared" si="348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9"/>
        <v>339</v>
      </c>
      <c r="DZB11" s="211">
        <f t="shared" si="350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1"/>
        <v>690</v>
      </c>
      <c r="DZJ11" s="211">
        <f t="shared" si="352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3"/>
        <v>696</v>
      </c>
      <c r="DZR11" s="211">
        <f t="shared" si="354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5"/>
        <v>696</v>
      </c>
      <c r="DZZ11" s="211">
        <f t="shared" si="356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7"/>
        <v>1431</v>
      </c>
      <c r="EAH11" s="211">
        <f t="shared" si="358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9"/>
        <v>0</v>
      </c>
      <c r="EAP11" s="211">
        <f t="shared" si="360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1"/>
        <v>0</v>
      </c>
      <c r="EAX11" s="211">
        <f t="shared" si="362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3"/>
        <v>0</v>
      </c>
      <c r="EBF11" s="211">
        <f t="shared" si="364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5"/>
        <v>666</v>
      </c>
      <c r="EBN11" s="211">
        <f t="shared" si="366"/>
        <v>111</v>
      </c>
      <c r="EBO11" s="195"/>
      <c r="EBP11" s="49"/>
      <c r="EBQ11" s="49"/>
      <c r="EBR11" s="49"/>
      <c r="EBS11" s="49"/>
      <c r="EBT11" s="49"/>
      <c r="EBU11" s="64">
        <f t="shared" si="367"/>
        <v>0</v>
      </c>
      <c r="EBV11" s="184">
        <f t="shared" si="368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9"/>
        <v>0</v>
      </c>
      <c r="ECD11" s="211">
        <f t="shared" si="370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1"/>
        <v>0</v>
      </c>
      <c r="ECL11" s="211">
        <f t="shared" si="372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3"/>
        <v>0</v>
      </c>
      <c r="ECT11" s="211">
        <f t="shared" si="374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5"/>
        <v>0</v>
      </c>
      <c r="EDB11" s="211">
        <f t="shared" si="376"/>
        <v>0</v>
      </c>
      <c r="EDC11" s="195"/>
      <c r="EDD11" s="49"/>
      <c r="EDE11" s="49"/>
      <c r="EDF11" s="49"/>
      <c r="EDG11" s="49"/>
      <c r="EDH11" s="49"/>
      <c r="EDI11" s="64">
        <f t="shared" si="377"/>
        <v>0</v>
      </c>
      <c r="EDJ11" s="211">
        <f t="shared" si="378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9"/>
        <v>0</v>
      </c>
      <c r="EDR11" s="211">
        <f t="shared" si="380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1"/>
        <v>0</v>
      </c>
      <c r="EDZ11" s="707">
        <f t="shared" si="382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3"/>
        <v>0</v>
      </c>
      <c r="EEH11" s="211">
        <f t="shared" si="384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5"/>
        <v>0</v>
      </c>
      <c r="EEP11" s="211">
        <f t="shared" si="386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7"/>
        <v>0</v>
      </c>
      <c r="EEX11" s="211">
        <f t="shared" si="388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9"/>
        <v>348</v>
      </c>
      <c r="EFF11" s="211">
        <f t="shared" si="390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1"/>
        <v>1344</v>
      </c>
      <c r="EFN11" s="211">
        <f t="shared" si="392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3"/>
        <v>0</v>
      </c>
      <c r="EFV11" s="211">
        <f t="shared" si="394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5"/>
        <v>0</v>
      </c>
      <c r="EGD11" s="211">
        <f t="shared" si="396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7"/>
        <v>0</v>
      </c>
      <c r="EGL11" s="211">
        <f t="shared" si="398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9"/>
        <v>0</v>
      </c>
      <c r="EGT11" s="211">
        <f t="shared" si="400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1"/>
        <v>0</v>
      </c>
      <c r="EHB11" s="211">
        <f t="shared" si="402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3"/>
        <v>0</v>
      </c>
      <c r="EHJ11" s="211">
        <f t="shared" si="404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5"/>
        <v>0</v>
      </c>
      <c r="EHR11" s="211">
        <f t="shared" si="406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7"/>
        <v>0</v>
      </c>
      <c r="EHZ11" s="211">
        <f t="shared" si="408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9"/>
        <v>0</v>
      </c>
      <c r="EIH11" s="211">
        <f t="shared" si="410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1"/>
        <v>0</v>
      </c>
      <c r="EIP11" s="211">
        <f t="shared" si="412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3"/>
        <v>0</v>
      </c>
      <c r="EIX11" s="211">
        <f t="shared" si="414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5"/>
        <v>0</v>
      </c>
      <c r="EJF11" s="211">
        <f t="shared" si="416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7"/>
        <v>0</v>
      </c>
      <c r="EJN11" s="211">
        <f t="shared" si="418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9"/>
        <v>0</v>
      </c>
      <c r="EJV11" s="211">
        <f t="shared" si="420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1"/>
        <v>0</v>
      </c>
      <c r="EKD11" s="211">
        <f t="shared" si="422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3"/>
        <v>0</v>
      </c>
      <c r="EKL11" s="211">
        <f t="shared" si="424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5"/>
        <v>367</v>
      </c>
      <c r="EKT11" s="211">
        <f t="shared" si="426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7"/>
        <v>362</v>
      </c>
      <c r="ELB11" s="211">
        <f t="shared" si="428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9"/>
        <v>0</v>
      </c>
      <c r="ELJ11" s="211">
        <f t="shared" si="430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1"/>
        <v>352</v>
      </c>
      <c r="ELR11" s="211">
        <f t="shared" si="432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3"/>
        <v>0</v>
      </c>
      <c r="ELZ11" s="873">
        <f t="shared" si="434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5"/>
        <v>0</v>
      </c>
      <c r="EMH11" s="873">
        <f t="shared" si="436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7"/>
        <v>342</v>
      </c>
      <c r="EMP11" s="873">
        <f t="shared" si="438"/>
        <v>57</v>
      </c>
      <c r="EMQ11" s="195"/>
      <c r="EMR11" s="49">
        <v>0</v>
      </c>
      <c r="EMS11" s="49"/>
      <c r="EMT11" s="49">
        <v>679</v>
      </c>
      <c r="EMU11" s="49"/>
      <c r="EMV11" s="49"/>
      <c r="EMW11" s="872">
        <f t="shared" si="439"/>
        <v>679</v>
      </c>
      <c r="EMX11" s="873">
        <f t="shared" si="440"/>
        <v>113.16666666666667</v>
      </c>
      <c r="EMY11" s="195"/>
      <c r="EMZ11" s="49"/>
      <c r="ENA11" s="49"/>
      <c r="ENB11" s="49"/>
      <c r="ENC11" s="49"/>
      <c r="END11" s="49"/>
      <c r="ENE11" s="872">
        <f t="shared" si="441"/>
        <v>0</v>
      </c>
      <c r="ENF11" s="873">
        <f t="shared" si="442"/>
        <v>0</v>
      </c>
    </row>
    <row r="12" spans="1:3750" s="8" customFormat="1" ht="15" customHeight="1" x14ac:dyDescent="0.2">
      <c r="A12" s="391">
        <v>6</v>
      </c>
      <c r="B12" s="297" t="s">
        <v>500</v>
      </c>
      <c r="C12" s="309" t="s">
        <v>438</v>
      </c>
      <c r="D12" s="21">
        <v>25</v>
      </c>
      <c r="E12" s="24"/>
      <c r="F12" s="24">
        <v>340</v>
      </c>
      <c r="G12" s="24"/>
      <c r="H12" s="24">
        <v>2000</v>
      </c>
      <c r="I12" s="360"/>
      <c r="J12" s="360">
        <f>SUMIF(SUMPK!$B:$B,$B:$B,SUMPK!$O:$O)</f>
        <v>0</v>
      </c>
      <c r="K12" s="24"/>
      <c r="L12" s="24">
        <f t="shared" ref="L12:L13" si="1029">F12+H12-J12</f>
        <v>2340</v>
      </c>
      <c r="M12" s="15">
        <f t="shared" ref="M12:M13" si="1030">K12+L12</f>
        <v>2340</v>
      </c>
      <c r="N12" s="444">
        <v>55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5"/>
        <v>239</v>
      </c>
      <c r="EEP12" s="211">
        <f t="shared" si="386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7"/>
        <v>0</v>
      </c>
      <c r="EEX12" s="211">
        <f t="shared" si="388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9"/>
        <v>0</v>
      </c>
      <c r="EFF12" s="211">
        <f t="shared" si="390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1"/>
        <v>248</v>
      </c>
      <c r="EFN12" s="211">
        <f t="shared" si="392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3"/>
        <v>0</v>
      </c>
      <c r="EFV12" s="211">
        <f t="shared" si="394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5"/>
        <v>720</v>
      </c>
      <c r="EGD12" s="211">
        <f t="shared" si="396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7"/>
        <v>318</v>
      </c>
      <c r="EGL12" s="211">
        <f t="shared" si="398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9"/>
        <v>298</v>
      </c>
      <c r="EGT12" s="211">
        <f t="shared" si="400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1"/>
        <v>331</v>
      </c>
      <c r="EHB12" s="211">
        <f t="shared" si="402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3"/>
        <v>973</v>
      </c>
      <c r="EHJ12" s="211">
        <f t="shared" si="404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5"/>
        <v>1587</v>
      </c>
      <c r="EHR12" s="211">
        <f t="shared" si="406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7"/>
        <v>1850</v>
      </c>
      <c r="EHZ12" s="211">
        <f t="shared" si="408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9"/>
        <v>2280</v>
      </c>
      <c r="EIH12" s="211">
        <f t="shared" si="410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1"/>
        <v>339</v>
      </c>
      <c r="EIP12" s="211">
        <f t="shared" si="412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3"/>
        <v>0</v>
      </c>
      <c r="EIX12" s="211">
        <f t="shared" si="414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5"/>
        <v>2914</v>
      </c>
      <c r="EJF12" s="211">
        <f t="shared" si="416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7"/>
        <v>0</v>
      </c>
      <c r="EJN12" s="211">
        <f t="shared" si="418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9"/>
        <v>647</v>
      </c>
      <c r="EJV12" s="211">
        <f t="shared" si="420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1"/>
        <v>1002</v>
      </c>
      <c r="EKD12" s="211">
        <f t="shared" si="422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3"/>
        <v>930</v>
      </c>
      <c r="EKL12" s="211">
        <f t="shared" si="424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5"/>
        <v>0</v>
      </c>
      <c r="EKT12" s="211">
        <f t="shared" si="426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7"/>
        <v>1348</v>
      </c>
      <c r="ELB12" s="211">
        <f t="shared" si="428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9"/>
        <v>920</v>
      </c>
      <c r="ELJ12" s="211">
        <f t="shared" si="430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1"/>
        <v>659</v>
      </c>
      <c r="ELR12" s="211">
        <f t="shared" si="432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3"/>
        <v>0</v>
      </c>
      <c r="ELZ12" s="873">
        <f t="shared" si="434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5"/>
        <v>1306</v>
      </c>
      <c r="EMH12" s="873">
        <f t="shared" si="436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7"/>
        <v>2004</v>
      </c>
      <c r="EMP12" s="873">
        <f t="shared" si="438"/>
        <v>334</v>
      </c>
      <c r="EMQ12" s="195"/>
      <c r="EMR12" s="49">
        <v>0</v>
      </c>
      <c r="EMS12" s="49"/>
      <c r="EMT12" s="49"/>
      <c r="EMU12" s="49"/>
      <c r="EMV12" s="49">
        <v>330</v>
      </c>
      <c r="EMW12" s="872">
        <f t="shared" si="439"/>
        <v>330</v>
      </c>
      <c r="EMX12" s="873">
        <f t="shared" si="440"/>
        <v>55</v>
      </c>
      <c r="EMY12" s="195">
        <v>1284</v>
      </c>
      <c r="EMZ12" s="49"/>
      <c r="ENA12" s="49"/>
      <c r="ENB12" s="49"/>
      <c r="ENC12" s="49"/>
      <c r="END12" s="49"/>
      <c r="ENE12" s="872">
        <f t="shared" si="441"/>
        <v>1284</v>
      </c>
      <c r="ENF12" s="873">
        <f t="shared" si="442"/>
        <v>214</v>
      </c>
    </row>
    <row r="13" spans="1:3750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9"/>
        <v>4306</v>
      </c>
      <c r="M13" s="15">
        <f t="shared" si="1030"/>
        <v>4306</v>
      </c>
      <c r="N13" s="444">
        <v>0</v>
      </c>
      <c r="O13" s="276">
        <f t="shared" si="2"/>
        <v>0</v>
      </c>
      <c r="P13" s="277">
        <f t="shared" si="443"/>
        <v>106.66666666666667</v>
      </c>
      <c r="Q13" s="276">
        <f t="shared" si="3"/>
        <v>242.21249999999998</v>
      </c>
      <c r="R13" s="277">
        <f t="shared" si="226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4"/>
        <v>808</v>
      </c>
      <c r="AM13" s="43">
        <f t="shared" si="445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6"/>
        <v>776</v>
      </c>
      <c r="AU13" s="43">
        <f t="shared" si="447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8"/>
        <v>445</v>
      </c>
      <c r="BC13" s="43">
        <f t="shared" si="449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50"/>
        <v>960</v>
      </c>
      <c r="BK13" s="43">
        <f t="shared" si="451"/>
        <v>160</v>
      </c>
      <c r="BL13" s="48"/>
      <c r="BM13" s="49">
        <v>601</v>
      </c>
      <c r="BN13" s="49"/>
      <c r="BO13" s="49"/>
      <c r="BP13" s="49"/>
      <c r="BQ13" s="49"/>
      <c r="BR13" s="42">
        <f t="shared" si="452"/>
        <v>601</v>
      </c>
      <c r="BS13" s="43">
        <f t="shared" si="453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4"/>
        <v>998</v>
      </c>
      <c r="CA13" s="43">
        <f t="shared" si="455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6"/>
        <v>368</v>
      </c>
      <c r="CI13" s="43">
        <f t="shared" si="457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8"/>
        <v>198</v>
      </c>
      <c r="CQ13" s="43">
        <f t="shared" si="459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60"/>
        <v>399</v>
      </c>
      <c r="CY13" s="43">
        <f t="shared" si="461"/>
        <v>66.5</v>
      </c>
      <c r="CZ13" s="48">
        <v>600</v>
      </c>
      <c r="DA13" s="49"/>
      <c r="DB13" s="49"/>
      <c r="DC13" s="49"/>
      <c r="DD13" s="49"/>
      <c r="DE13" s="49"/>
      <c r="DF13" s="42">
        <f t="shared" si="462"/>
        <v>600</v>
      </c>
      <c r="DG13" s="43">
        <f t="shared" si="463"/>
        <v>100</v>
      </c>
      <c r="DH13" s="48"/>
      <c r="DI13" s="49"/>
      <c r="DJ13" s="49"/>
      <c r="DK13" s="49"/>
      <c r="DL13" s="49">
        <v>378</v>
      </c>
      <c r="DM13" s="49"/>
      <c r="DN13" s="42">
        <f t="shared" si="464"/>
        <v>378</v>
      </c>
      <c r="DO13" s="43">
        <f t="shared" si="465"/>
        <v>63</v>
      </c>
      <c r="DP13" s="48"/>
      <c r="DQ13" s="49"/>
      <c r="DR13" s="49"/>
      <c r="DS13" s="49"/>
      <c r="DT13" s="49">
        <v>400</v>
      </c>
      <c r="DU13" s="49"/>
      <c r="DV13" s="42">
        <f t="shared" si="466"/>
        <v>400</v>
      </c>
      <c r="DW13" s="43">
        <f t="shared" si="467"/>
        <v>66.666666666666671</v>
      </c>
      <c r="DX13" s="48"/>
      <c r="DY13" s="49"/>
      <c r="DZ13" s="49"/>
      <c r="EA13" s="49"/>
      <c r="EB13" s="49"/>
      <c r="EC13" s="49"/>
      <c r="ED13" s="42">
        <f t="shared" si="468"/>
        <v>0</v>
      </c>
      <c r="EE13" s="43">
        <f t="shared" si="469"/>
        <v>0</v>
      </c>
      <c r="EF13" s="48"/>
      <c r="EG13" s="49">
        <v>453</v>
      </c>
      <c r="EH13" s="49"/>
      <c r="EI13" s="49"/>
      <c r="EJ13" s="49"/>
      <c r="EK13" s="49"/>
      <c r="EL13" s="42">
        <f t="shared" si="470"/>
        <v>453</v>
      </c>
      <c r="EM13" s="43">
        <f t="shared" si="471"/>
        <v>75.5</v>
      </c>
      <c r="EN13" s="48"/>
      <c r="EO13" s="49"/>
      <c r="EP13" s="49">
        <v>199</v>
      </c>
      <c r="EQ13" s="49"/>
      <c r="ER13" s="49"/>
      <c r="ES13" s="49"/>
      <c r="ET13" s="42">
        <f t="shared" si="472"/>
        <v>199</v>
      </c>
      <c r="EU13" s="43">
        <f t="shared" si="473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4"/>
        <v>600</v>
      </c>
      <c r="FC13" s="43">
        <f t="shared" si="475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6"/>
        <v>766</v>
      </c>
      <c r="FK13" s="43">
        <f t="shared" si="477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8"/>
        <v>299</v>
      </c>
      <c r="FS13" s="43">
        <f t="shared" si="479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80"/>
        <v>846</v>
      </c>
      <c r="GA13" s="43">
        <f t="shared" si="481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82"/>
        <v>599</v>
      </c>
      <c r="GI13" s="43">
        <f t="shared" si="483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4"/>
        <v>299</v>
      </c>
      <c r="GQ13" s="43">
        <f t="shared" si="485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6"/>
        <v>1001</v>
      </c>
      <c r="GY13" s="43">
        <f t="shared" si="487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8"/>
        <v>100</v>
      </c>
      <c r="HG13" s="43">
        <f t="shared" si="489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90"/>
        <v>299</v>
      </c>
      <c r="HO13" s="43">
        <f t="shared" si="491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92"/>
        <v>746</v>
      </c>
      <c r="HW13" s="43">
        <f t="shared" si="493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4"/>
        <v>500</v>
      </c>
      <c r="IE13" s="43">
        <f t="shared" si="495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6"/>
        <v>847</v>
      </c>
      <c r="IM13" s="43">
        <f t="shared" si="497"/>
        <v>141.16666666666666</v>
      </c>
      <c r="IN13" s="82"/>
      <c r="IO13" s="83"/>
      <c r="IP13" s="83"/>
      <c r="IQ13" s="83"/>
      <c r="IR13" s="83"/>
      <c r="IS13" s="83"/>
      <c r="IT13" s="42">
        <f t="shared" si="498"/>
        <v>0</v>
      </c>
      <c r="IU13" s="43">
        <f t="shared" si="499"/>
        <v>0</v>
      </c>
      <c r="IV13" s="48"/>
      <c r="IW13" s="49"/>
      <c r="IX13" s="49"/>
      <c r="IY13" s="49">
        <v>200</v>
      </c>
      <c r="IZ13" s="49"/>
      <c r="JA13" s="49"/>
      <c r="JB13" s="42">
        <f t="shared" si="500"/>
        <v>200</v>
      </c>
      <c r="JC13" s="43">
        <f t="shared" si="501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502"/>
        <v>972</v>
      </c>
      <c r="JK13" s="43">
        <f t="shared" si="503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4"/>
        <v>758</v>
      </c>
      <c r="JS13" s="43">
        <f t="shared" si="505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6"/>
        <v>394</v>
      </c>
      <c r="KA13" s="43">
        <f t="shared" si="507"/>
        <v>65.666666666666671</v>
      </c>
      <c r="KB13" s="48"/>
      <c r="KC13" s="49"/>
      <c r="KD13" s="49"/>
      <c r="KE13" s="49"/>
      <c r="KF13" s="49"/>
      <c r="KG13" s="49"/>
      <c r="KH13" s="42">
        <f t="shared" si="508"/>
        <v>0</v>
      </c>
      <c r="KI13" s="43">
        <f t="shared" si="509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10"/>
        <v>1014</v>
      </c>
      <c r="KQ13" s="43">
        <f t="shared" si="511"/>
        <v>169</v>
      </c>
      <c r="KR13" s="48"/>
      <c r="KS13" s="49"/>
      <c r="KT13" s="49"/>
      <c r="KU13" s="49"/>
      <c r="KV13" s="49">
        <v>600</v>
      </c>
      <c r="KW13" s="49"/>
      <c r="KX13" s="42">
        <f t="shared" si="512"/>
        <v>600</v>
      </c>
      <c r="KY13" s="101">
        <f t="shared" si="513"/>
        <v>100</v>
      </c>
      <c r="KZ13" s="48"/>
      <c r="LA13" s="49"/>
      <c r="LB13" s="49"/>
      <c r="LC13" s="49"/>
      <c r="LD13" s="49">
        <v>300</v>
      </c>
      <c r="LE13" s="49"/>
      <c r="LF13" s="42">
        <f t="shared" si="514"/>
        <v>300</v>
      </c>
      <c r="LG13" s="43">
        <f t="shared" si="515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6"/>
        <v>798</v>
      </c>
      <c r="LO13" s="68">
        <f t="shared" si="517"/>
        <v>133</v>
      </c>
      <c r="LP13" s="48"/>
      <c r="LQ13" s="49">
        <v>300</v>
      </c>
      <c r="LR13" s="49"/>
      <c r="LS13" s="49"/>
      <c r="LT13" s="49"/>
      <c r="LU13" s="49"/>
      <c r="LV13" s="67">
        <f t="shared" si="518"/>
        <v>300</v>
      </c>
      <c r="LW13" s="68">
        <f t="shared" si="519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20"/>
        <v>698</v>
      </c>
      <c r="ME13" s="68">
        <f t="shared" si="521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22"/>
        <v>1491</v>
      </c>
      <c r="MM13" s="43">
        <f t="shared" si="523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4"/>
        <v>417</v>
      </c>
      <c r="MU13" s="43">
        <f t="shared" si="525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6"/>
        <v>739</v>
      </c>
      <c r="NC13" s="43">
        <f t="shared" si="527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8"/>
        <v>400</v>
      </c>
      <c r="NK13" s="43">
        <f t="shared" si="529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30"/>
        <v>398</v>
      </c>
      <c r="NS13" s="43">
        <f t="shared" si="531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32"/>
        <v>740</v>
      </c>
      <c r="OA13" s="43">
        <f t="shared" si="533"/>
        <v>123.33333333333333</v>
      </c>
      <c r="OB13" s="48"/>
      <c r="OC13" s="49"/>
      <c r="OD13" s="49"/>
      <c r="OE13" s="49"/>
      <c r="OF13" s="49"/>
      <c r="OG13" s="49"/>
      <c r="OH13" s="42">
        <f t="shared" si="534"/>
        <v>0</v>
      </c>
      <c r="OI13" s="43">
        <f t="shared" si="535"/>
        <v>0</v>
      </c>
      <c r="OJ13" s="48"/>
      <c r="OK13" s="49"/>
      <c r="OL13" s="49"/>
      <c r="OM13" s="49"/>
      <c r="ON13" s="49"/>
      <c r="OO13" s="49"/>
      <c r="OP13" s="42">
        <f t="shared" si="536"/>
        <v>0</v>
      </c>
      <c r="OQ13" s="43">
        <f t="shared" si="537"/>
        <v>0</v>
      </c>
      <c r="OR13" s="48"/>
      <c r="OS13" s="49"/>
      <c r="OT13" s="49"/>
      <c r="OU13" s="49"/>
      <c r="OV13" s="49">
        <v>406</v>
      </c>
      <c r="OW13" s="49"/>
      <c r="OX13" s="67">
        <f t="shared" si="538"/>
        <v>406</v>
      </c>
      <c r="OY13" s="68">
        <f t="shared" si="539"/>
        <v>67.666666666666671</v>
      </c>
      <c r="OZ13" s="48"/>
      <c r="PA13" s="49"/>
      <c r="PB13" s="49"/>
      <c r="PC13" s="49"/>
      <c r="PD13" s="49"/>
      <c r="PE13" s="49"/>
      <c r="PF13" s="67">
        <f t="shared" si="540"/>
        <v>0</v>
      </c>
      <c r="PG13" s="68">
        <f t="shared" si="541"/>
        <v>0</v>
      </c>
      <c r="PH13" s="48"/>
      <c r="PI13" s="49">
        <v>245</v>
      </c>
      <c r="PJ13" s="49"/>
      <c r="PK13" s="49"/>
      <c r="PL13" s="49"/>
      <c r="PM13" s="49"/>
      <c r="PN13" s="104">
        <f t="shared" si="542"/>
        <v>245</v>
      </c>
      <c r="PO13" s="105">
        <f t="shared" si="543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4"/>
        <v>813</v>
      </c>
      <c r="PW13" s="105">
        <f t="shared" si="545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6"/>
        <v>755</v>
      </c>
      <c r="QE13" s="105">
        <f t="shared" si="547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8"/>
        <v>395</v>
      </c>
      <c r="QM13" s="105">
        <f t="shared" si="549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50"/>
        <v>578</v>
      </c>
      <c r="QU13" s="105">
        <f t="shared" si="551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52"/>
        <v>594</v>
      </c>
      <c r="RC13" s="105">
        <f t="shared" si="553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4"/>
        <v>644</v>
      </c>
      <c r="RK13" s="105">
        <f t="shared" si="555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6"/>
        <v>783</v>
      </c>
      <c r="RS13" s="105">
        <f t="shared" si="557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8"/>
        <v>661</v>
      </c>
      <c r="SA13" s="105">
        <f t="shared" si="559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60"/>
        <v>638</v>
      </c>
      <c r="SI13" s="105">
        <f t="shared" si="561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62"/>
        <v>396</v>
      </c>
      <c r="SQ13" s="105">
        <f t="shared" si="563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4"/>
        <v>801</v>
      </c>
      <c r="SY13" s="105">
        <f t="shared" si="565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6"/>
        <v>398</v>
      </c>
      <c r="TG13" s="105">
        <f t="shared" si="567"/>
        <v>66.333333333333329</v>
      </c>
      <c r="TH13" s="106"/>
      <c r="TI13" s="107"/>
      <c r="TJ13" s="107"/>
      <c r="TK13" s="107"/>
      <c r="TL13" s="107"/>
      <c r="TM13" s="107"/>
      <c r="TN13" s="104">
        <f t="shared" si="568"/>
        <v>0</v>
      </c>
      <c r="TO13" s="105">
        <f t="shared" si="569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70"/>
        <v>0</v>
      </c>
      <c r="TX13" s="105">
        <f t="shared" si="571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72"/>
        <v>400</v>
      </c>
      <c r="UF13" s="105">
        <f t="shared" si="573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4"/>
        <v>400</v>
      </c>
      <c r="UN13" s="105">
        <f t="shared" si="575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6"/>
        <v>286</v>
      </c>
      <c r="UV13" s="105">
        <f t="shared" si="577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8"/>
        <v>447</v>
      </c>
      <c r="VD13" s="105">
        <f t="shared" si="579"/>
        <v>74.5</v>
      </c>
      <c r="VE13" s="63"/>
      <c r="VF13" s="64"/>
      <c r="VG13" s="64">
        <v>200</v>
      </c>
      <c r="VH13" s="64"/>
      <c r="VI13" s="64"/>
      <c r="VJ13" s="64"/>
      <c r="VK13" s="67">
        <f t="shared" si="580"/>
        <v>200</v>
      </c>
      <c r="VL13" s="68">
        <f t="shared" si="581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82"/>
        <v>400</v>
      </c>
      <c r="VU13" s="68">
        <f t="shared" si="583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4"/>
        <v>399</v>
      </c>
      <c r="WD13" s="68">
        <f t="shared" si="585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6"/>
        <v>300</v>
      </c>
      <c r="WM13" s="68">
        <f t="shared" si="587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8"/>
        <v>636</v>
      </c>
      <c r="WV13" s="68">
        <f t="shared" si="589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90"/>
        <v>300</v>
      </c>
      <c r="XE13" s="105">
        <f t="shared" si="591"/>
        <v>50</v>
      </c>
      <c r="XF13" s="48"/>
      <c r="XG13" s="49"/>
      <c r="XH13" s="49"/>
      <c r="XI13" s="49"/>
      <c r="XJ13" s="49"/>
      <c r="XK13" s="49">
        <v>400</v>
      </c>
      <c r="XL13" s="67">
        <f t="shared" si="592"/>
        <v>400</v>
      </c>
      <c r="XM13" s="68">
        <f t="shared" si="593"/>
        <v>66.666666666666671</v>
      </c>
      <c r="XN13" s="48"/>
      <c r="XO13" s="49"/>
      <c r="XP13" s="49"/>
      <c r="XQ13" s="49"/>
      <c r="XR13" s="49"/>
      <c r="XS13" s="49"/>
      <c r="XT13" s="67">
        <f t="shared" si="594"/>
        <v>0</v>
      </c>
      <c r="XU13" s="68">
        <f t="shared" si="595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6"/>
        <v>300</v>
      </c>
      <c r="YC13" s="68">
        <f t="shared" si="597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8"/>
        <v>482</v>
      </c>
      <c r="YL13" s="68">
        <f t="shared" si="599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600"/>
        <v>788</v>
      </c>
      <c r="YU13" s="68">
        <f t="shared" si="601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602"/>
        <v>507</v>
      </c>
      <c r="ZC13" s="68">
        <f t="shared" si="603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4"/>
        <v>809</v>
      </c>
      <c r="ZK13" s="68">
        <f t="shared" si="605"/>
        <v>134.83333333333334</v>
      </c>
      <c r="ZL13" s="48"/>
      <c r="ZM13" s="49"/>
      <c r="ZN13" s="49"/>
      <c r="ZO13" s="49"/>
      <c r="ZP13" s="49"/>
      <c r="ZQ13" s="49"/>
      <c r="ZR13" s="67">
        <f t="shared" si="606"/>
        <v>0</v>
      </c>
      <c r="ZS13" s="68">
        <f t="shared" si="607"/>
        <v>0</v>
      </c>
      <c r="ZT13" s="48"/>
      <c r="ZU13" s="49"/>
      <c r="ZV13" s="49">
        <v>296</v>
      </c>
      <c r="ZW13" s="49"/>
      <c r="ZX13" s="49"/>
      <c r="ZY13" s="49"/>
      <c r="ZZ13" s="67">
        <f t="shared" si="608"/>
        <v>296</v>
      </c>
      <c r="AAA13" s="68">
        <f t="shared" si="609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10"/>
        <v>600</v>
      </c>
      <c r="AAI13" s="68">
        <f t="shared" si="611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12"/>
        <v>414</v>
      </c>
      <c r="AAQ13" s="68">
        <f t="shared" si="613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4"/>
        <v>165</v>
      </c>
      <c r="AAY13" s="68">
        <f t="shared" si="615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6"/>
        <v>122</v>
      </c>
      <c r="ABG13" s="68">
        <f t="shared" si="617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8"/>
        <v>201</v>
      </c>
      <c r="ABO13" s="68">
        <f t="shared" si="619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20"/>
        <v>440</v>
      </c>
      <c r="ABW13" s="68">
        <f t="shared" si="621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22"/>
        <v>113</v>
      </c>
      <c r="ACE13" s="68">
        <f t="shared" si="623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4"/>
        <v>92</v>
      </c>
      <c r="ACM13" s="68">
        <f t="shared" si="625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6"/>
        <v>429</v>
      </c>
      <c r="ACU13" s="68">
        <f t="shared" si="627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8"/>
        <v>202</v>
      </c>
      <c r="ADC13" s="68">
        <f t="shared" si="629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30"/>
        <v>200</v>
      </c>
      <c r="ADK13" s="68">
        <f t="shared" si="631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32"/>
        <v>659</v>
      </c>
      <c r="ADS13" s="68">
        <f t="shared" si="633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4"/>
        <v>118</v>
      </c>
      <c r="AEA13" s="68">
        <f t="shared" si="635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6"/>
        <v>220</v>
      </c>
      <c r="AEI13" s="68">
        <f t="shared" si="637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8"/>
        <v>221</v>
      </c>
      <c r="AEQ13" s="68">
        <f t="shared" si="639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40"/>
        <v>229</v>
      </c>
      <c r="AEY13" s="68">
        <f t="shared" si="641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42"/>
        <v>219</v>
      </c>
      <c r="AFG13" s="68">
        <f t="shared" si="643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4"/>
        <v>198</v>
      </c>
      <c r="AFO13" s="68">
        <f t="shared" si="645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6"/>
        <v>209</v>
      </c>
      <c r="AFW13" s="68">
        <f t="shared" si="647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8"/>
        <v>220</v>
      </c>
      <c r="AGE13" s="68">
        <f t="shared" si="649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50"/>
        <v>221</v>
      </c>
      <c r="AGM13" s="68">
        <f t="shared" si="651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52"/>
        <v>577</v>
      </c>
      <c r="AGU13" s="43">
        <f t="shared" si="653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4"/>
        <v>439</v>
      </c>
      <c r="AHC13" s="43">
        <f t="shared" si="655"/>
        <v>43.9</v>
      </c>
      <c r="AHD13" s="48"/>
      <c r="AHE13" s="49"/>
      <c r="AHF13" s="49"/>
      <c r="AHG13" s="49"/>
      <c r="AHH13" s="49"/>
      <c r="AHI13" s="49"/>
      <c r="AHJ13" s="42">
        <f t="shared" si="656"/>
        <v>0</v>
      </c>
      <c r="AHK13" s="43">
        <f t="shared" si="657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8"/>
        <v>130</v>
      </c>
      <c r="AHS13" s="68">
        <f t="shared" si="659"/>
        <v>13</v>
      </c>
      <c r="AHT13" s="48"/>
      <c r="AHU13" s="49"/>
      <c r="AHV13" s="49"/>
      <c r="AHW13" s="49"/>
      <c r="AHX13" s="49"/>
      <c r="AHY13" s="49"/>
      <c r="AHZ13" s="67">
        <f t="shared" si="660"/>
        <v>0</v>
      </c>
      <c r="AIA13" s="184">
        <f t="shared" si="661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62"/>
        <v>220</v>
      </c>
      <c r="AII13" s="184">
        <f t="shared" si="663"/>
        <v>36.666666666666664</v>
      </c>
      <c r="AIJ13" s="195"/>
      <c r="AIK13" s="49"/>
      <c r="AIL13" s="49"/>
      <c r="AIM13" s="49"/>
      <c r="AIN13" s="49"/>
      <c r="AIO13" s="49"/>
      <c r="AIP13" s="67">
        <f t="shared" si="664"/>
        <v>0</v>
      </c>
      <c r="AIQ13" s="184">
        <f t="shared" si="665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6"/>
        <v>452</v>
      </c>
      <c r="AIY13" s="68">
        <f t="shared" si="667"/>
        <v>75.333333333333329</v>
      </c>
      <c r="AIZ13" s="48"/>
      <c r="AJA13" s="49"/>
      <c r="AJB13" s="49"/>
      <c r="AJC13" s="49"/>
      <c r="AJD13" s="49"/>
      <c r="AJE13" s="49"/>
      <c r="AJF13" s="67">
        <f t="shared" si="668"/>
        <v>0</v>
      </c>
      <c r="AJG13" s="68">
        <f t="shared" si="669"/>
        <v>0</v>
      </c>
      <c r="AJH13" s="48"/>
      <c r="AJI13" s="49"/>
      <c r="AJJ13" s="49"/>
      <c r="AJK13" s="49"/>
      <c r="AJL13" s="49"/>
      <c r="AJM13" s="49"/>
      <c r="AJN13" s="47">
        <f t="shared" si="670"/>
        <v>0</v>
      </c>
      <c r="AJO13" s="43">
        <f t="shared" si="671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72"/>
        <v>110</v>
      </c>
      <c r="AJW13" s="43">
        <f t="shared" si="673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4"/>
        <v>617</v>
      </c>
      <c r="AKE13" s="43">
        <f t="shared" si="675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6"/>
        <v>111</v>
      </c>
      <c r="AKM13" s="43">
        <f t="shared" si="677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8"/>
        <v>203</v>
      </c>
      <c r="AKU13" s="43">
        <f t="shared" si="679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80"/>
        <v>324</v>
      </c>
      <c r="ALC13" s="43">
        <f t="shared" si="681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82"/>
        <v>96</v>
      </c>
      <c r="ALK13" s="43">
        <f t="shared" si="683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4"/>
        <v>269</v>
      </c>
      <c r="ALS13" s="68">
        <f t="shared" si="685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6"/>
        <v>220</v>
      </c>
      <c r="AMA13" s="68">
        <f t="shared" si="687"/>
        <v>36.666666666666664</v>
      </c>
      <c r="AMB13" s="48"/>
      <c r="AMC13" s="49"/>
      <c r="AMD13" s="49"/>
      <c r="AME13" s="49"/>
      <c r="AMF13" s="49"/>
      <c r="AMG13" s="49"/>
      <c r="AMH13" s="67">
        <f t="shared" si="688"/>
        <v>0</v>
      </c>
      <c r="AMI13" s="68">
        <f t="shared" si="689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90"/>
        <v>440</v>
      </c>
      <c r="AMQ13" s="68">
        <f t="shared" si="691"/>
        <v>73.333333333333329</v>
      </c>
      <c r="AMR13" s="48"/>
      <c r="AMS13" s="49"/>
      <c r="AMT13" s="49"/>
      <c r="AMU13" s="49"/>
      <c r="AMV13" s="49"/>
      <c r="AMW13" s="49"/>
      <c r="AMX13" s="67">
        <f t="shared" si="692"/>
        <v>0</v>
      </c>
      <c r="AMY13" s="68">
        <f t="shared" si="693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4"/>
        <v>271</v>
      </c>
      <c r="ANG13" s="68">
        <f t="shared" si="695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6"/>
        <v>655</v>
      </c>
      <c r="ANO13" s="68">
        <f t="shared" si="697"/>
        <v>109.16666666666667</v>
      </c>
      <c r="ANP13" s="48"/>
      <c r="ANQ13" s="49"/>
      <c r="ANR13" s="49"/>
      <c r="ANS13" s="49"/>
      <c r="ANT13" s="49"/>
      <c r="ANU13" s="49"/>
      <c r="ANV13" s="67">
        <f t="shared" si="698"/>
        <v>0</v>
      </c>
      <c r="ANW13" s="68">
        <f t="shared" si="699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700"/>
        <v>510</v>
      </c>
      <c r="AOE13" s="68">
        <f t="shared" si="701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702"/>
        <v>200</v>
      </c>
      <c r="AOM13" s="68">
        <f t="shared" si="703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4"/>
        <v>440</v>
      </c>
      <c r="AOU13" s="68">
        <f t="shared" si="705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6"/>
        <v>216</v>
      </c>
      <c r="APC13" s="68">
        <f t="shared" si="707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8"/>
        <v>330</v>
      </c>
      <c r="APK13" s="68">
        <f t="shared" si="709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10"/>
        <v>330</v>
      </c>
      <c r="APS13" s="68">
        <f t="shared" si="711"/>
        <v>55</v>
      </c>
      <c r="APT13" s="48"/>
      <c r="APU13" s="49"/>
      <c r="APV13" s="49"/>
      <c r="APW13" s="49"/>
      <c r="APX13" s="49"/>
      <c r="APY13" s="49"/>
      <c r="APZ13" s="67">
        <f t="shared" si="712"/>
        <v>0</v>
      </c>
      <c r="AQA13" s="68">
        <f t="shared" si="713"/>
        <v>0</v>
      </c>
      <c r="AQB13" s="48"/>
      <c r="AQC13" s="49"/>
      <c r="AQD13" s="49"/>
      <c r="AQE13" s="49"/>
      <c r="AQF13" s="49"/>
      <c r="AQG13" s="49"/>
      <c r="AQH13" s="67">
        <f t="shared" si="714"/>
        <v>0</v>
      </c>
      <c r="AQI13" s="68">
        <f t="shared" si="715"/>
        <v>0</v>
      </c>
      <c r="AQJ13" s="48"/>
      <c r="AQK13" s="49"/>
      <c r="AQL13" s="49"/>
      <c r="AQM13" s="49"/>
      <c r="AQN13" s="49"/>
      <c r="AQO13" s="49"/>
      <c r="AQP13" s="42">
        <f t="shared" si="716"/>
        <v>0</v>
      </c>
      <c r="AQQ13" s="43">
        <f t="shared" si="717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8"/>
        <v>108</v>
      </c>
      <c r="AQY13" s="43">
        <f t="shared" si="719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20"/>
        <v>111</v>
      </c>
      <c r="ARG13" s="43">
        <f t="shared" si="721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22"/>
        <v>110</v>
      </c>
      <c r="ARO13" s="43">
        <f t="shared" si="723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4"/>
        <v>111</v>
      </c>
      <c r="ARW13" s="43">
        <f t="shared" si="725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6"/>
        <v>216</v>
      </c>
      <c r="ASE13" s="43">
        <f t="shared" si="727"/>
        <v>36</v>
      </c>
      <c r="ASF13" s="48"/>
      <c r="ASG13" s="49"/>
      <c r="ASH13" s="49"/>
      <c r="ASI13" s="49"/>
      <c r="ASJ13" s="49"/>
      <c r="ASK13" s="49"/>
      <c r="ASL13" s="42">
        <f t="shared" si="728"/>
        <v>0</v>
      </c>
      <c r="ASM13" s="43">
        <f t="shared" si="729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30"/>
        <v>330</v>
      </c>
      <c r="ASU13" s="43">
        <f t="shared" si="731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32"/>
        <v>218</v>
      </c>
      <c r="ATC13" s="43">
        <f t="shared" si="733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4"/>
        <v>220</v>
      </c>
      <c r="ATK13" s="43">
        <f t="shared" si="735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6"/>
        <v>209</v>
      </c>
      <c r="ATS13" s="43">
        <f t="shared" si="737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8"/>
        <v>110</v>
      </c>
      <c r="AUA13" s="43">
        <f t="shared" si="739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40"/>
        <v>83</v>
      </c>
      <c r="AUI13" s="43">
        <f t="shared" si="741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42"/>
        <v>211</v>
      </c>
      <c r="AUQ13" s="43">
        <f t="shared" si="743"/>
        <v>35.166666666666664</v>
      </c>
      <c r="AUR13" s="48"/>
      <c r="AUS13" s="49"/>
      <c r="AUT13" s="49"/>
      <c r="AUU13" s="49"/>
      <c r="AUV13" s="49"/>
      <c r="AUW13" s="49"/>
      <c r="AUX13" s="42">
        <f t="shared" si="744"/>
        <v>0</v>
      </c>
      <c r="AUY13" s="43">
        <f t="shared" si="745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6"/>
        <v>120</v>
      </c>
      <c r="AVG13" s="43">
        <f t="shared" si="747"/>
        <v>20</v>
      </c>
      <c r="AVH13" s="48"/>
      <c r="AVI13" s="49"/>
      <c r="AVJ13" s="49"/>
      <c r="AVK13" s="49"/>
      <c r="AVL13" s="49"/>
      <c r="AVM13" s="49"/>
      <c r="AVN13" s="42">
        <f t="shared" si="748"/>
        <v>0</v>
      </c>
      <c r="AVO13" s="43">
        <f t="shared" si="749"/>
        <v>0</v>
      </c>
      <c r="AVP13" s="48"/>
      <c r="AVQ13" s="49"/>
      <c r="AVR13" s="49"/>
      <c r="AVS13" s="49"/>
      <c r="AVT13" s="49"/>
      <c r="AVU13" s="49"/>
      <c r="AVV13" s="42">
        <f t="shared" si="750"/>
        <v>0</v>
      </c>
      <c r="AVW13" s="43">
        <f t="shared" si="751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52"/>
        <v>215</v>
      </c>
      <c r="AWE13" s="43">
        <f t="shared" si="753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4"/>
        <v>110</v>
      </c>
      <c r="AWM13" s="43">
        <f t="shared" si="755"/>
        <v>18.333333333333332</v>
      </c>
      <c r="AWN13" s="48"/>
      <c r="AWO13" s="49"/>
      <c r="AWP13" s="49"/>
      <c r="AWQ13" s="49"/>
      <c r="AWR13" s="49"/>
      <c r="AWS13" s="49"/>
      <c r="AWT13" s="42">
        <f t="shared" si="756"/>
        <v>0</v>
      </c>
      <c r="AWU13" s="43">
        <f t="shared" si="757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8"/>
        <v>218</v>
      </c>
      <c r="AXC13" s="43">
        <f t="shared" si="759"/>
        <v>36.333333333333336</v>
      </c>
      <c r="AXD13" s="48"/>
      <c r="AXE13" s="49"/>
      <c r="AXF13" s="49"/>
      <c r="AXG13" s="49"/>
      <c r="AXH13" s="49"/>
      <c r="AXI13" s="49"/>
      <c r="AXJ13" s="42">
        <f t="shared" si="760"/>
        <v>0</v>
      </c>
      <c r="AXK13" s="43">
        <f t="shared" si="761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62"/>
        <v>105</v>
      </c>
      <c r="AXS13" s="43">
        <f t="shared" si="763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4"/>
        <v>438</v>
      </c>
      <c r="AYA13" s="43">
        <f t="shared" si="765"/>
        <v>73</v>
      </c>
      <c r="AYB13" s="48"/>
      <c r="AYC13" s="49"/>
      <c r="AYD13" s="49"/>
      <c r="AYE13" s="49"/>
      <c r="AYF13" s="49"/>
      <c r="AYG13" s="49"/>
      <c r="AYH13" s="42">
        <f t="shared" si="766"/>
        <v>0</v>
      </c>
      <c r="AYI13" s="43">
        <f t="shared" si="767"/>
        <v>0</v>
      </c>
      <c r="AYJ13" s="48"/>
      <c r="AYK13" s="49"/>
      <c r="AYL13" s="49"/>
      <c r="AYM13" s="49"/>
      <c r="AYN13" s="49"/>
      <c r="AYO13" s="49"/>
      <c r="AYP13" s="42">
        <f t="shared" si="768"/>
        <v>0</v>
      </c>
      <c r="AYQ13" s="43">
        <f t="shared" si="769"/>
        <v>0</v>
      </c>
      <c r="AYR13" s="48"/>
      <c r="AYS13" s="49"/>
      <c r="AYT13" s="49"/>
      <c r="AYU13" s="49"/>
      <c r="AYV13" s="49"/>
      <c r="AYW13" s="49"/>
      <c r="AYX13" s="42">
        <f t="shared" si="770"/>
        <v>0</v>
      </c>
      <c r="AYY13" s="43">
        <f t="shared" si="771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72"/>
        <v>220</v>
      </c>
      <c r="AZG13" s="43">
        <f t="shared" si="773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4"/>
        <v>203</v>
      </c>
      <c r="AZO13" s="43">
        <f t="shared" si="775"/>
        <v>33.833333333333336</v>
      </c>
      <c r="AZP13" s="48"/>
      <c r="AZQ13" s="49"/>
      <c r="AZR13" s="49"/>
      <c r="AZS13" s="49"/>
      <c r="AZT13" s="49"/>
      <c r="AZU13" s="49"/>
      <c r="AZV13" s="42">
        <f t="shared" si="776"/>
        <v>0</v>
      </c>
      <c r="AZW13" s="43">
        <f t="shared" si="777"/>
        <v>0</v>
      </c>
      <c r="AZX13" s="239"/>
      <c r="AZY13" s="1"/>
      <c r="AZZ13" s="1"/>
      <c r="BAA13" s="1"/>
      <c r="BAB13" s="1"/>
      <c r="BAC13" s="1"/>
      <c r="BAD13" s="42">
        <f t="shared" si="778"/>
        <v>0</v>
      </c>
      <c r="BAE13" s="43">
        <f t="shared" si="779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80"/>
        <v>222</v>
      </c>
      <c r="BAM13" s="43">
        <f t="shared" si="781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82"/>
        <v>330</v>
      </c>
      <c r="BAU13" s="43">
        <f t="shared" si="783"/>
        <v>55</v>
      </c>
      <c r="BAV13" s="48"/>
      <c r="BAW13" s="49"/>
      <c r="BAX13" s="49"/>
      <c r="BAY13" s="49"/>
      <c r="BAZ13" s="49"/>
      <c r="BBA13" s="49"/>
      <c r="BBB13" s="42">
        <f t="shared" si="784"/>
        <v>0</v>
      </c>
      <c r="BBC13" s="43">
        <f t="shared" si="785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6"/>
        <v>220</v>
      </c>
      <c r="BBK13" s="43">
        <f t="shared" si="787"/>
        <v>36.666666666666664</v>
      </c>
      <c r="BBL13" s="48"/>
      <c r="BBM13" s="49"/>
      <c r="BBN13" s="49"/>
      <c r="BBO13" s="49"/>
      <c r="BBP13" s="49"/>
      <c r="BBQ13" s="49"/>
      <c r="BBR13" s="42">
        <f t="shared" si="788"/>
        <v>0</v>
      </c>
      <c r="BBS13" s="43">
        <f t="shared" si="789"/>
        <v>0</v>
      </c>
      <c r="BBT13" s="48"/>
      <c r="BBU13" s="49"/>
      <c r="BBV13" s="49"/>
      <c r="BBW13" s="49"/>
      <c r="BBX13" s="49"/>
      <c r="BBY13" s="49"/>
      <c r="BBZ13" s="42">
        <f t="shared" si="790"/>
        <v>0</v>
      </c>
      <c r="BCA13" s="43">
        <f t="shared" si="791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92"/>
        <v>161</v>
      </c>
      <c r="BCI13" s="43">
        <f t="shared" si="793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4"/>
        <v>98</v>
      </c>
      <c r="BCQ13" s="43">
        <f t="shared" si="795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6"/>
        <v>522</v>
      </c>
      <c r="BCY13" s="43">
        <f t="shared" si="797"/>
        <v>87</v>
      </c>
      <c r="BCZ13" s="48"/>
      <c r="BDA13" s="49"/>
      <c r="BDB13" s="49"/>
      <c r="BDC13" s="49"/>
      <c r="BDD13" s="49"/>
      <c r="BDE13" s="49"/>
      <c r="BDF13" s="42">
        <f t="shared" si="798"/>
        <v>0</v>
      </c>
      <c r="BDG13" s="43">
        <f t="shared" si="799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800"/>
        <v>210</v>
      </c>
      <c r="BDO13" s="43">
        <f t="shared" si="801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802"/>
        <v>220</v>
      </c>
      <c r="BDW13" s="43">
        <f t="shared" si="803"/>
        <v>36.666666666666664</v>
      </c>
      <c r="BDX13" s="48"/>
      <c r="BDY13" s="49"/>
      <c r="BDZ13" s="49"/>
      <c r="BEA13" s="49"/>
      <c r="BEB13" s="49"/>
      <c r="BEC13" s="49"/>
      <c r="BED13" s="42">
        <f t="shared" si="804"/>
        <v>0</v>
      </c>
      <c r="BEE13" s="43">
        <f t="shared" si="805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6"/>
        <v>199</v>
      </c>
      <c r="BEM13" s="43">
        <f t="shared" si="807"/>
        <v>33.166666666666664</v>
      </c>
      <c r="BEN13" s="48"/>
      <c r="BEO13" s="49"/>
      <c r="BEP13" s="49"/>
      <c r="BEQ13" s="49"/>
      <c r="BER13" s="49"/>
      <c r="BES13" s="49"/>
      <c r="BET13" s="42">
        <f t="shared" si="808"/>
        <v>0</v>
      </c>
      <c r="BEU13" s="43">
        <f t="shared" si="809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10"/>
        <v>220</v>
      </c>
      <c r="BFC13" s="43">
        <f t="shared" si="811"/>
        <v>36.666666666666664</v>
      </c>
      <c r="BFD13" s="48"/>
      <c r="BFE13" s="49"/>
      <c r="BFF13" s="49"/>
      <c r="BFG13" s="49"/>
      <c r="BFH13" s="49"/>
      <c r="BFI13" s="49"/>
      <c r="BFJ13" s="42">
        <f t="shared" si="812"/>
        <v>0</v>
      </c>
      <c r="BFK13" s="43">
        <f t="shared" si="813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4"/>
        <v>100</v>
      </c>
      <c r="BFS13" s="43">
        <f t="shared" si="815"/>
        <v>16.666666666666668</v>
      </c>
      <c r="BFT13" s="48"/>
      <c r="BFU13" s="49"/>
      <c r="BFV13" s="49"/>
      <c r="BFW13" s="49"/>
      <c r="BFX13" s="49"/>
      <c r="BFY13" s="49"/>
      <c r="BFZ13" s="42">
        <f t="shared" si="816"/>
        <v>0</v>
      </c>
      <c r="BGA13" s="43">
        <f t="shared" si="817"/>
        <v>0</v>
      </c>
      <c r="BGB13" s="48"/>
      <c r="BGC13" s="49"/>
      <c r="BGD13" s="49"/>
      <c r="BGE13" s="49"/>
      <c r="BGF13" s="49"/>
      <c r="BGG13" s="49"/>
      <c r="BGH13" s="42">
        <f t="shared" si="818"/>
        <v>0</v>
      </c>
      <c r="BGI13" s="43">
        <f t="shared" si="819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20"/>
        <v>203</v>
      </c>
      <c r="BGQ13" s="43">
        <f t="shared" si="821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22"/>
        <v>426</v>
      </c>
      <c r="BGY13" s="43">
        <f t="shared" si="823"/>
        <v>71</v>
      </c>
      <c r="BGZ13" s="48"/>
      <c r="BHA13" s="49"/>
      <c r="BHB13" s="49"/>
      <c r="BHC13" s="49"/>
      <c r="BHD13" s="49"/>
      <c r="BHE13" s="49"/>
      <c r="BHF13" s="42">
        <f t="shared" si="824"/>
        <v>0</v>
      </c>
      <c r="BHG13" s="43">
        <f t="shared" si="825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6"/>
        <v>200</v>
      </c>
      <c r="BHO13" s="43">
        <f t="shared" si="827"/>
        <v>33.333333333333336</v>
      </c>
      <c r="BHP13" s="48"/>
      <c r="BHQ13" s="49"/>
      <c r="BHR13" s="49"/>
      <c r="BHS13" s="49"/>
      <c r="BHT13" s="49"/>
      <c r="BHU13" s="49"/>
      <c r="BHV13" s="42">
        <f t="shared" si="828"/>
        <v>0</v>
      </c>
      <c r="BHW13" s="43">
        <f t="shared" si="829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30"/>
        <v>199</v>
      </c>
      <c r="BIE13" s="43">
        <f t="shared" si="831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32"/>
        <v>300</v>
      </c>
      <c r="BIM13" s="43">
        <f t="shared" si="833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4"/>
        <v>317</v>
      </c>
      <c r="BIU13" s="43">
        <f t="shared" si="835"/>
        <v>52.833333333333336</v>
      </c>
      <c r="BIV13" s="48"/>
      <c r="BIW13" s="49"/>
      <c r="BIX13" s="49"/>
      <c r="BIY13" s="49"/>
      <c r="BIZ13" s="49"/>
      <c r="BJA13" s="49"/>
      <c r="BJB13" s="42">
        <f t="shared" si="836"/>
        <v>0</v>
      </c>
      <c r="BJC13" s="43">
        <f t="shared" si="837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8"/>
        <v>330</v>
      </c>
      <c r="BJK13" s="43">
        <f t="shared" si="839"/>
        <v>55</v>
      </c>
      <c r="BJL13" s="48"/>
      <c r="BJM13" s="49"/>
      <c r="BJN13" s="49"/>
      <c r="BJO13" s="49"/>
      <c r="BJP13" s="49"/>
      <c r="BJQ13" s="49"/>
      <c r="BJR13" s="42">
        <f t="shared" si="840"/>
        <v>0</v>
      </c>
      <c r="BJS13" s="43">
        <f t="shared" si="841"/>
        <v>0</v>
      </c>
      <c r="BJT13" s="48"/>
      <c r="BJU13" s="49"/>
      <c r="BJV13" s="49"/>
      <c r="BJW13" s="49"/>
      <c r="BJX13" s="49"/>
      <c r="BJY13" s="49"/>
      <c r="BJZ13" s="67">
        <f t="shared" si="842"/>
        <v>0</v>
      </c>
      <c r="BKA13" s="43">
        <f t="shared" si="843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4"/>
        <v>431</v>
      </c>
      <c r="BKI13" s="43">
        <f t="shared" si="845"/>
        <v>71.833333333333329</v>
      </c>
      <c r="BKJ13" s="48"/>
      <c r="BKK13" s="49"/>
      <c r="BKL13" s="49"/>
      <c r="BKM13" s="49"/>
      <c r="BKN13" s="49"/>
      <c r="BKO13" s="49"/>
      <c r="BKP13" s="67">
        <f t="shared" si="846"/>
        <v>0</v>
      </c>
      <c r="BKQ13" s="43">
        <f t="shared" si="847"/>
        <v>0</v>
      </c>
      <c r="BKR13" s="48"/>
      <c r="BKS13" s="49"/>
      <c r="BKT13" s="49"/>
      <c r="BKU13" s="49"/>
      <c r="BKV13" s="49"/>
      <c r="BKW13" s="49"/>
      <c r="BKX13" s="67">
        <f t="shared" si="848"/>
        <v>0</v>
      </c>
      <c r="BKY13" s="43">
        <f t="shared" si="849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50"/>
        <v>220</v>
      </c>
      <c r="BLG13" s="43">
        <f t="shared" si="851"/>
        <v>36.666666666666664</v>
      </c>
      <c r="BLH13" s="48"/>
      <c r="BLI13" s="49"/>
      <c r="BLJ13" s="49"/>
      <c r="BLK13" s="49"/>
      <c r="BLL13" s="49"/>
      <c r="BLM13" s="49"/>
      <c r="BLN13" s="67">
        <f t="shared" si="852"/>
        <v>0</v>
      </c>
      <c r="BLO13" s="68">
        <f t="shared" si="853"/>
        <v>0</v>
      </c>
      <c r="BLP13" s="48"/>
      <c r="BLQ13" s="49"/>
      <c r="BLR13" s="49"/>
      <c r="BLS13" s="49"/>
      <c r="BLT13" s="49"/>
      <c r="BLU13" s="49"/>
      <c r="BLV13" s="67">
        <f t="shared" si="854"/>
        <v>0</v>
      </c>
      <c r="BLW13" s="68">
        <f t="shared" si="855"/>
        <v>0</v>
      </c>
      <c r="BLX13" s="48"/>
      <c r="BLY13" s="49"/>
      <c r="BLZ13" s="49"/>
      <c r="BMA13" s="49"/>
      <c r="BMB13" s="49"/>
      <c r="BMC13" s="49"/>
      <c r="BMD13" s="67">
        <f t="shared" si="856"/>
        <v>0</v>
      </c>
      <c r="BME13" s="43">
        <f t="shared" si="857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8"/>
        <v>274</v>
      </c>
      <c r="BMM13" s="43">
        <f t="shared" si="859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60"/>
        <v>110</v>
      </c>
      <c r="BMU13" s="43">
        <f t="shared" si="861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62"/>
        <v>330</v>
      </c>
      <c r="BNC13" s="43">
        <f t="shared" si="863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4"/>
        <v>224</v>
      </c>
      <c r="BNK13" s="184">
        <f t="shared" si="865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6"/>
        <v>329</v>
      </c>
      <c r="BNS13" s="211">
        <f t="shared" si="867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8"/>
        <v>200</v>
      </c>
      <c r="BOA13" s="184">
        <f t="shared" si="869"/>
        <v>33.333333333333336</v>
      </c>
      <c r="BOB13" s="48"/>
      <c r="BOC13" s="49"/>
      <c r="BOD13" s="49"/>
      <c r="BOE13" s="49"/>
      <c r="BOF13" s="49"/>
      <c r="BOG13" s="49"/>
      <c r="BOH13" s="67">
        <f t="shared" si="870"/>
        <v>0</v>
      </c>
      <c r="BOI13" s="68">
        <f t="shared" si="871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72"/>
        <v>199</v>
      </c>
      <c r="BOQ13" s="68">
        <f t="shared" si="873"/>
        <v>33.166666666666664</v>
      </c>
      <c r="BOR13" s="48"/>
      <c r="BOS13" s="49"/>
      <c r="BOT13" s="49"/>
      <c r="BOU13" s="49"/>
      <c r="BOV13" s="49"/>
      <c r="BOW13" s="49"/>
      <c r="BOX13" s="67">
        <f t="shared" si="874"/>
        <v>0</v>
      </c>
      <c r="BOY13" s="68">
        <f t="shared" si="875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6"/>
        <v>349</v>
      </c>
      <c r="BPG13" s="68">
        <f t="shared" si="877"/>
        <v>58.166666666666664</v>
      </c>
      <c r="BPH13" s="48"/>
      <c r="BPI13" s="49"/>
      <c r="BPJ13" s="49"/>
      <c r="BPK13" s="49"/>
      <c r="BPL13" s="49"/>
      <c r="BPM13" s="49"/>
      <c r="BPN13" s="67">
        <f t="shared" si="878"/>
        <v>0</v>
      </c>
      <c r="BPO13" s="68">
        <f t="shared" si="879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80"/>
        <v>110</v>
      </c>
      <c r="BPW13" s="68">
        <f t="shared" si="881"/>
        <v>18.333333333333332</v>
      </c>
      <c r="BPX13" s="48"/>
      <c r="BPY13" s="49"/>
      <c r="BPZ13" s="49"/>
      <c r="BQA13" s="49"/>
      <c r="BQB13" s="49"/>
      <c r="BQC13" s="49"/>
      <c r="BQD13" s="67">
        <f t="shared" si="882"/>
        <v>0</v>
      </c>
      <c r="BQE13" s="68">
        <f t="shared" si="883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4"/>
        <v>220</v>
      </c>
      <c r="BQM13" s="68">
        <f t="shared" si="885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6"/>
        <v>442</v>
      </c>
      <c r="BQU13" s="68">
        <f t="shared" si="887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8"/>
        <v>223</v>
      </c>
      <c r="BRC13" s="68">
        <f t="shared" si="889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90"/>
        <v>119</v>
      </c>
      <c r="BRK13" s="68">
        <f t="shared" si="891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92"/>
        <v>220</v>
      </c>
      <c r="BRS13" s="68">
        <f t="shared" si="893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4"/>
        <v>399</v>
      </c>
      <c r="BSA13" s="68">
        <f t="shared" si="895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6"/>
        <v>225</v>
      </c>
      <c r="BSI13" s="68">
        <f t="shared" si="897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8"/>
        <v>220</v>
      </c>
      <c r="BSQ13" s="68">
        <f t="shared" si="899"/>
        <v>36.666666666666664</v>
      </c>
      <c r="BSR13" s="48"/>
      <c r="BSS13" s="49"/>
      <c r="BST13" s="49"/>
      <c r="BSU13" s="49"/>
      <c r="BSV13" s="49"/>
      <c r="BSW13" s="49"/>
      <c r="BSX13" s="67">
        <f t="shared" si="900"/>
        <v>0</v>
      </c>
      <c r="BSY13" s="68">
        <f t="shared" si="901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902"/>
        <v>408</v>
      </c>
      <c r="BTG13" s="68">
        <f t="shared" si="903"/>
        <v>68</v>
      </c>
      <c r="BTH13" s="48"/>
      <c r="BTI13" s="49"/>
      <c r="BTJ13" s="49"/>
      <c r="BTK13" s="49"/>
      <c r="BTL13" s="49"/>
      <c r="BTM13" s="49"/>
      <c r="BTN13" s="67">
        <f t="shared" si="904"/>
        <v>0</v>
      </c>
      <c r="BTO13" s="68">
        <f t="shared" si="905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6"/>
        <v>599</v>
      </c>
      <c r="BTW13" s="68">
        <f t="shared" si="907"/>
        <v>99.833333333333329</v>
      </c>
      <c r="BTX13" s="48"/>
      <c r="BTY13" s="49"/>
      <c r="BTZ13" s="49"/>
      <c r="BUA13" s="49"/>
      <c r="BUB13" s="49"/>
      <c r="BUC13" s="49"/>
      <c r="BUD13" s="67">
        <f t="shared" si="908"/>
        <v>0</v>
      </c>
      <c r="BUE13" s="68">
        <f t="shared" si="909"/>
        <v>0</v>
      </c>
      <c r="BUF13" s="48"/>
      <c r="BUG13" s="49"/>
      <c r="BUH13" s="49"/>
      <c r="BUI13" s="49"/>
      <c r="BUJ13" s="49"/>
      <c r="BUK13" s="49"/>
      <c r="BUL13" s="67">
        <f t="shared" si="910"/>
        <v>0</v>
      </c>
      <c r="BUM13" s="68">
        <f t="shared" si="911"/>
        <v>0</v>
      </c>
      <c r="BUN13" s="48"/>
      <c r="BUO13" s="49"/>
      <c r="BUP13" s="49"/>
      <c r="BUQ13" s="49"/>
      <c r="BUR13" s="49"/>
      <c r="BUS13" s="49"/>
      <c r="BUT13" s="67">
        <f t="shared" si="912"/>
        <v>0</v>
      </c>
      <c r="BUU13" s="68">
        <f t="shared" si="913"/>
        <v>0</v>
      </c>
      <c r="BUV13" s="48"/>
      <c r="BUW13" s="49"/>
      <c r="BUX13" s="49"/>
      <c r="BUY13" s="49"/>
      <c r="BUZ13" s="49"/>
      <c r="BVA13" s="49"/>
      <c r="BVB13" s="67">
        <f t="shared" si="914"/>
        <v>0</v>
      </c>
      <c r="BVC13" s="68">
        <f t="shared" si="915"/>
        <v>0</v>
      </c>
      <c r="BVD13" s="48"/>
      <c r="BVE13" s="49"/>
      <c r="BVF13" s="49"/>
      <c r="BVG13" s="49"/>
      <c r="BVH13" s="49"/>
      <c r="BVI13" s="49"/>
      <c r="BVJ13" s="67">
        <f t="shared" si="916"/>
        <v>0</v>
      </c>
      <c r="BVK13" s="68">
        <f t="shared" si="917"/>
        <v>0</v>
      </c>
      <c r="BVL13" s="48"/>
      <c r="BVM13" s="49"/>
      <c r="BVN13" s="49"/>
      <c r="BVO13" s="49"/>
      <c r="BVP13" s="49"/>
      <c r="BVQ13" s="49"/>
      <c r="BVR13" s="67">
        <f t="shared" si="918"/>
        <v>0</v>
      </c>
      <c r="BVS13" s="68">
        <f t="shared" si="919"/>
        <v>0</v>
      </c>
      <c r="BVT13" s="48"/>
      <c r="BVU13" s="49"/>
      <c r="BVV13" s="49"/>
      <c r="BVW13" s="49"/>
      <c r="BVX13" s="49"/>
      <c r="BVY13" s="49"/>
      <c r="BVZ13" s="67">
        <f t="shared" si="920"/>
        <v>0</v>
      </c>
      <c r="BWA13" s="68">
        <f t="shared" si="921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22"/>
        <v>329</v>
      </c>
      <c r="BWI13" s="68">
        <f t="shared" si="923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4"/>
        <v>213</v>
      </c>
      <c r="BWQ13" s="68">
        <f t="shared" si="925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6"/>
        <v>99</v>
      </c>
      <c r="BWY13" s="68">
        <f t="shared" si="927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8"/>
        <v>223</v>
      </c>
      <c r="BXG13" s="68">
        <f t="shared" si="929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30"/>
        <v>11</v>
      </c>
      <c r="BXO13" s="68">
        <f t="shared" si="931"/>
        <v>1.8333333333333333</v>
      </c>
      <c r="BXP13" s="48"/>
      <c r="BXQ13" s="49"/>
      <c r="BXR13" s="49"/>
      <c r="BXS13" s="49"/>
      <c r="BXT13" s="49"/>
      <c r="BXU13" s="49"/>
      <c r="BXV13" s="67">
        <f t="shared" si="932"/>
        <v>0</v>
      </c>
      <c r="BXW13" s="68">
        <f t="shared" si="933"/>
        <v>0</v>
      </c>
      <c r="BXX13" s="48"/>
      <c r="BXY13" s="49"/>
      <c r="BXZ13" s="49"/>
      <c r="BYA13" s="49"/>
      <c r="BYB13" s="49"/>
      <c r="BYC13" s="49"/>
      <c r="BYD13" s="67">
        <f t="shared" si="934"/>
        <v>0</v>
      </c>
      <c r="BYE13" s="68">
        <f t="shared" si="935"/>
        <v>0</v>
      </c>
      <c r="BYF13" s="48"/>
      <c r="BYG13" s="49"/>
      <c r="BYH13" s="49"/>
      <c r="BYI13" s="49"/>
      <c r="BYJ13" s="49"/>
      <c r="BYK13" s="49"/>
      <c r="BYL13" s="67">
        <f t="shared" si="936"/>
        <v>0</v>
      </c>
      <c r="BYM13" s="68">
        <f t="shared" si="937"/>
        <v>0</v>
      </c>
      <c r="BYN13" s="48"/>
      <c r="BYO13" s="49"/>
      <c r="BYP13" s="49"/>
      <c r="BYQ13" s="49"/>
      <c r="BYR13" s="49"/>
      <c r="BYS13" s="49"/>
      <c r="BYT13" s="67">
        <f t="shared" si="938"/>
        <v>0</v>
      </c>
      <c r="BYU13" s="68">
        <f t="shared" si="939"/>
        <v>0</v>
      </c>
      <c r="BYV13" s="48"/>
      <c r="BYW13" s="49"/>
      <c r="BYX13" s="49"/>
      <c r="BYY13" s="49"/>
      <c r="BYZ13" s="49"/>
      <c r="BZA13" s="49"/>
      <c r="BZB13" s="67">
        <f t="shared" si="940"/>
        <v>0</v>
      </c>
      <c r="BZC13" s="68">
        <f t="shared" si="941"/>
        <v>0</v>
      </c>
      <c r="BZD13" s="239"/>
      <c r="BZE13" s="1"/>
      <c r="BZF13" s="1"/>
      <c r="BZG13" s="1"/>
      <c r="BZH13" s="1"/>
      <c r="BZI13" s="1"/>
      <c r="BZJ13" s="67">
        <f t="shared" si="942"/>
        <v>0</v>
      </c>
      <c r="BZK13" s="68">
        <f t="shared" si="943"/>
        <v>0</v>
      </c>
      <c r="BZL13" s="48"/>
      <c r="BZM13" s="49"/>
      <c r="BZN13" s="49"/>
      <c r="BZO13" s="49"/>
      <c r="BZP13" s="49"/>
      <c r="BZQ13" s="49"/>
      <c r="BZR13" s="67">
        <f t="shared" si="944"/>
        <v>0</v>
      </c>
      <c r="BZS13" s="68">
        <f t="shared" si="945"/>
        <v>0</v>
      </c>
      <c r="BZT13" s="48"/>
      <c r="BZU13" s="49"/>
      <c r="BZV13" s="49"/>
      <c r="BZW13" s="49"/>
      <c r="BZX13" s="49"/>
      <c r="BZY13" s="49"/>
      <c r="BZZ13" s="67">
        <f t="shared" si="946"/>
        <v>0</v>
      </c>
      <c r="CAA13" s="68">
        <f t="shared" si="947"/>
        <v>0</v>
      </c>
      <c r="CAB13" s="48"/>
      <c r="CAC13" s="49"/>
      <c r="CAD13" s="49"/>
      <c r="CAE13" s="49"/>
      <c r="CAF13" s="49"/>
      <c r="CAG13" s="49"/>
      <c r="CAH13" s="67">
        <f t="shared" si="948"/>
        <v>0</v>
      </c>
      <c r="CAI13" s="68">
        <f t="shared" si="949"/>
        <v>0</v>
      </c>
      <c r="CAJ13" s="48"/>
      <c r="CAK13" s="49"/>
      <c r="CAL13" s="49"/>
      <c r="CAM13" s="49"/>
      <c r="CAN13" s="49"/>
      <c r="CAO13" s="49"/>
      <c r="CAP13" s="67">
        <f t="shared" si="950"/>
        <v>0</v>
      </c>
      <c r="CAQ13" s="68">
        <f t="shared" si="951"/>
        <v>0</v>
      </c>
      <c r="CAR13" s="201"/>
      <c r="CAS13" s="47"/>
      <c r="CAT13" s="47"/>
      <c r="CAU13" s="47"/>
      <c r="CAV13" s="47"/>
      <c r="CAW13" s="47"/>
      <c r="CAX13" s="67">
        <f t="shared" si="952"/>
        <v>0</v>
      </c>
      <c r="CAY13" s="68">
        <f t="shared" si="953"/>
        <v>0</v>
      </c>
      <c r="CAZ13" s="63"/>
      <c r="CBA13" s="64"/>
      <c r="CBB13" s="64"/>
      <c r="CBC13" s="64"/>
      <c r="CBD13" s="64"/>
      <c r="CBE13" s="64"/>
      <c r="CBF13" s="67">
        <f t="shared" si="954"/>
        <v>0</v>
      </c>
      <c r="CBG13" s="68">
        <f t="shared" si="955"/>
        <v>0</v>
      </c>
      <c r="CBH13" s="48"/>
      <c r="CBI13" s="49"/>
      <c r="CBJ13" s="49"/>
      <c r="CBK13" s="49"/>
      <c r="CBL13" s="49"/>
      <c r="CBM13" s="49"/>
      <c r="CBN13" s="67">
        <f t="shared" si="956"/>
        <v>0</v>
      </c>
      <c r="CBO13" s="68">
        <f t="shared" si="957"/>
        <v>0</v>
      </c>
      <c r="CBP13" s="48"/>
      <c r="CBQ13" s="49"/>
      <c r="CBR13" s="49"/>
      <c r="CBS13" s="49"/>
      <c r="CBT13" s="49"/>
      <c r="CBU13" s="49"/>
      <c r="CBV13" s="67">
        <f t="shared" si="958"/>
        <v>0</v>
      </c>
      <c r="CBW13" s="68">
        <f t="shared" si="959"/>
        <v>0</v>
      </c>
      <c r="CBX13" s="48"/>
      <c r="CBY13" s="49"/>
      <c r="CBZ13" s="49"/>
      <c r="CCA13" s="49"/>
      <c r="CCB13" s="49"/>
      <c r="CCC13" s="49"/>
      <c r="CCD13" s="67">
        <f t="shared" si="960"/>
        <v>0</v>
      </c>
      <c r="CCE13" s="68">
        <f t="shared" si="961"/>
        <v>0</v>
      </c>
      <c r="CCF13" s="48"/>
      <c r="CCG13" s="49"/>
      <c r="CCH13" s="49"/>
      <c r="CCI13" s="49"/>
      <c r="CCJ13" s="49"/>
      <c r="CCK13" s="49"/>
      <c r="CCL13" s="67">
        <f t="shared" si="962"/>
        <v>0</v>
      </c>
      <c r="CCM13" s="68">
        <f t="shared" si="963"/>
        <v>0</v>
      </c>
      <c r="CCN13" s="48"/>
      <c r="CCO13" s="49"/>
      <c r="CCP13" s="49"/>
      <c r="CCQ13" s="49"/>
      <c r="CCR13" s="49"/>
      <c r="CCS13" s="49"/>
      <c r="CCT13" s="67">
        <f t="shared" si="964"/>
        <v>0</v>
      </c>
      <c r="CCU13" s="68">
        <f t="shared" si="965"/>
        <v>0</v>
      </c>
      <c r="CCV13" s="48"/>
      <c r="CCW13" s="49"/>
      <c r="CCX13" s="49"/>
      <c r="CCY13" s="49"/>
      <c r="CCZ13" s="49"/>
      <c r="CDA13" s="49"/>
      <c r="CDB13" s="67">
        <f t="shared" si="966"/>
        <v>0</v>
      </c>
      <c r="CDC13" s="68">
        <f t="shared" si="967"/>
        <v>0</v>
      </c>
      <c r="CDD13" s="201"/>
      <c r="CDE13" s="47"/>
      <c r="CDF13" s="47"/>
      <c r="CDG13" s="47"/>
      <c r="CDH13" s="47"/>
      <c r="CDI13" s="47"/>
      <c r="CDJ13" s="67">
        <f t="shared" si="968"/>
        <v>0</v>
      </c>
      <c r="CDK13" s="68">
        <f t="shared" si="969"/>
        <v>0</v>
      </c>
      <c r="CDL13" s="48"/>
      <c r="CDM13" s="49"/>
      <c r="CDN13" s="49"/>
      <c r="CDO13" s="49"/>
      <c r="CDP13" s="49"/>
      <c r="CDQ13" s="49"/>
      <c r="CDR13" s="67">
        <f t="shared" si="970"/>
        <v>0</v>
      </c>
      <c r="CDS13" s="68">
        <f t="shared" si="971"/>
        <v>0</v>
      </c>
      <c r="CDT13" s="48"/>
      <c r="CDU13" s="49"/>
      <c r="CDV13" s="49"/>
      <c r="CDW13" s="49"/>
      <c r="CDX13" s="49"/>
      <c r="CDY13" s="49"/>
      <c r="CDZ13" s="67">
        <f t="shared" si="972"/>
        <v>0</v>
      </c>
      <c r="CEA13" s="68">
        <f t="shared" si="973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4"/>
        <v>0</v>
      </c>
      <c r="CFE13" s="68">
        <f t="shared" si="975"/>
        <v>0</v>
      </c>
      <c r="CFF13" s="48"/>
      <c r="CFG13" s="49"/>
      <c r="CFH13" s="49"/>
      <c r="CFI13" s="49"/>
      <c r="CFJ13" s="49"/>
      <c r="CFK13" s="49"/>
      <c r="CFL13" s="64">
        <f t="shared" si="976"/>
        <v>0</v>
      </c>
      <c r="CFM13" s="68">
        <f t="shared" si="977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8"/>
        <v>0</v>
      </c>
      <c r="CFU13" s="68">
        <f t="shared" si="979"/>
        <v>0</v>
      </c>
      <c r="CFV13" s="48"/>
      <c r="CFW13" s="49"/>
      <c r="CFX13" s="49"/>
      <c r="CFY13" s="49"/>
      <c r="CFZ13" s="49"/>
      <c r="CGA13" s="49"/>
      <c r="CGB13" s="64">
        <f t="shared" si="980"/>
        <v>0</v>
      </c>
      <c r="CGC13" s="68">
        <f t="shared" si="981"/>
        <v>0</v>
      </c>
      <c r="CGD13" s="48"/>
      <c r="CGE13" s="49"/>
      <c r="CGF13" s="49"/>
      <c r="CGG13" s="49"/>
      <c r="CGH13" s="49"/>
      <c r="CGI13" s="49"/>
      <c r="CGJ13" s="64">
        <f t="shared" si="982"/>
        <v>0</v>
      </c>
      <c r="CGK13" s="68">
        <f t="shared" si="983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4"/>
        <v>326</v>
      </c>
      <c r="CGS13" s="68">
        <f t="shared" si="985"/>
        <v>54.333333333333336</v>
      </c>
      <c r="CGT13" s="48"/>
      <c r="CGU13" s="49"/>
      <c r="CGV13" s="49"/>
      <c r="CGW13" s="49"/>
      <c r="CGX13" s="49"/>
      <c r="CGY13" s="49"/>
      <c r="CGZ13" s="64">
        <f t="shared" si="986"/>
        <v>0</v>
      </c>
      <c r="CHA13" s="68">
        <f t="shared" si="987"/>
        <v>0</v>
      </c>
      <c r="CHB13" s="48"/>
      <c r="CHC13" s="49"/>
      <c r="CHD13" s="49"/>
      <c r="CHE13" s="49"/>
      <c r="CHF13" s="49"/>
      <c r="CHG13" s="49"/>
      <c r="CHH13" s="64">
        <f t="shared" si="988"/>
        <v>0</v>
      </c>
      <c r="CHI13" s="68">
        <f t="shared" si="989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90"/>
        <v>320</v>
      </c>
      <c r="CHQ13" s="68">
        <f t="shared" si="991"/>
        <v>53.333333333333336</v>
      </c>
      <c r="CHR13" s="48"/>
      <c r="CHS13" s="49"/>
      <c r="CHT13" s="49"/>
      <c r="CHU13" s="49"/>
      <c r="CHV13" s="49"/>
      <c r="CHW13" s="49"/>
      <c r="CHX13" s="64">
        <f t="shared" si="992"/>
        <v>0</v>
      </c>
      <c r="CHY13" s="68">
        <f t="shared" si="993"/>
        <v>0</v>
      </c>
      <c r="CHZ13" s="48"/>
      <c r="CIA13" s="49"/>
      <c r="CIB13" s="49"/>
      <c r="CIC13" s="49"/>
      <c r="CID13" s="49"/>
      <c r="CIE13" s="49"/>
      <c r="CIF13" s="64">
        <f t="shared" si="994"/>
        <v>0</v>
      </c>
      <c r="CIG13" s="68">
        <f t="shared" si="995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6"/>
        <v>670</v>
      </c>
      <c r="CIO13" s="68">
        <f t="shared" si="997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8"/>
        <v>316</v>
      </c>
      <c r="CIW13" s="68">
        <f t="shared" si="999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1000"/>
        <v>328</v>
      </c>
      <c r="CJE13" s="43">
        <f t="shared" si="1001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1002"/>
        <v>632</v>
      </c>
      <c r="CJM13" s="43">
        <f t="shared" si="1003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4"/>
        <v>909</v>
      </c>
      <c r="CJU13" s="43">
        <f t="shared" si="1005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6"/>
        <v>314</v>
      </c>
      <c r="CKC13" s="43">
        <f t="shared" si="1007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8"/>
        <v>315</v>
      </c>
      <c r="CKK13" s="43">
        <f t="shared" si="1009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10"/>
        <v>656</v>
      </c>
      <c r="CKS13" s="43">
        <f t="shared" si="1011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12"/>
        <v>668</v>
      </c>
      <c r="CLA13" s="43">
        <f t="shared" si="1013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4"/>
        <v>657</v>
      </c>
      <c r="CLI13" s="43">
        <f t="shared" si="1015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6"/>
        <v>315</v>
      </c>
      <c r="CLQ13" s="43">
        <f t="shared" si="1017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8"/>
        <v>353</v>
      </c>
      <c r="CLY13" s="43">
        <f t="shared" si="1019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20"/>
        <v>668</v>
      </c>
      <c r="CMG13" s="43">
        <f t="shared" si="1021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22"/>
        <v>652</v>
      </c>
      <c r="CMO13" s="43">
        <f t="shared" si="1023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4"/>
        <v>337</v>
      </c>
      <c r="CMW13" s="43">
        <f t="shared" si="1025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6"/>
        <v>660</v>
      </c>
      <c r="CNE13" s="68">
        <f t="shared" si="1027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7"/>
        <v>316</v>
      </c>
      <c r="CNM13" s="68">
        <f t="shared" si="228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9"/>
        <v>0</v>
      </c>
      <c r="CNU13" s="68">
        <f t="shared" si="230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1"/>
        <v>327</v>
      </c>
      <c r="COC13" s="68">
        <f t="shared" si="232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3"/>
        <v>315</v>
      </c>
      <c r="COK13" s="68">
        <f t="shared" si="234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5"/>
        <v>336</v>
      </c>
      <c r="COS13" s="68">
        <f t="shared" si="236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7"/>
        <v>660</v>
      </c>
      <c r="CPA13" s="68">
        <f t="shared" si="238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9"/>
        <v>328</v>
      </c>
      <c r="CPI13" s="68">
        <f t="shared" si="240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1"/>
        <v>640</v>
      </c>
      <c r="CPQ13" s="68">
        <f t="shared" si="242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3"/>
        <v>355</v>
      </c>
      <c r="CPY13" s="68">
        <f t="shared" si="244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5"/>
        <v>321</v>
      </c>
      <c r="CQG13" s="68">
        <f t="shared" si="246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7"/>
        <v>326</v>
      </c>
      <c r="CQO13" s="43">
        <f t="shared" si="248"/>
        <v>54.333333333333336</v>
      </c>
      <c r="CQP13" s="48"/>
      <c r="CQQ13" s="49"/>
      <c r="CQR13" s="49"/>
      <c r="CQS13" s="49"/>
      <c r="CQT13" s="49"/>
      <c r="CQU13" s="49"/>
      <c r="CQV13" s="127">
        <f t="shared" si="249"/>
        <v>0</v>
      </c>
      <c r="CQW13" s="43">
        <f t="shared" si="250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1"/>
        <v>265</v>
      </c>
      <c r="CRE13" s="43">
        <f t="shared" si="252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3"/>
        <v>335</v>
      </c>
      <c r="DKG13" s="68">
        <f t="shared" si="254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5"/>
        <v>0</v>
      </c>
      <c r="DKO13" s="68">
        <f t="shared" si="256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7"/>
        <v>328</v>
      </c>
      <c r="DKW13" s="68">
        <f t="shared" si="258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9"/>
        <v>326</v>
      </c>
      <c r="DLE13" s="68">
        <f t="shared" si="260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1"/>
        <v>338</v>
      </c>
      <c r="DLM13" s="68">
        <f t="shared" si="262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3"/>
        <v>322</v>
      </c>
      <c r="DLU13" s="68">
        <f t="shared" si="264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5"/>
        <v>0</v>
      </c>
      <c r="DMC13" s="68">
        <f t="shared" si="266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7"/>
        <v>648</v>
      </c>
      <c r="DMK13" s="68">
        <f t="shared" si="268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9"/>
        <v>0</v>
      </c>
      <c r="DMS13" s="68">
        <f t="shared" si="270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1"/>
        <v>644</v>
      </c>
      <c r="DNA13" s="68">
        <f t="shared" si="272"/>
        <v>107.33333333333333</v>
      </c>
      <c r="DNB13" s="48"/>
      <c r="DNC13" s="49"/>
      <c r="DND13" s="49"/>
      <c r="DNE13" s="49"/>
      <c r="DNF13" s="49"/>
      <c r="DNG13" s="49"/>
      <c r="DNH13" s="64">
        <f t="shared" si="273"/>
        <v>0</v>
      </c>
      <c r="DNI13" s="68">
        <f t="shared" si="274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5"/>
        <v>0</v>
      </c>
      <c r="DNQ13" s="68">
        <f t="shared" si="276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7"/>
        <v>329</v>
      </c>
      <c r="DNY13" s="68">
        <f t="shared" si="278"/>
        <v>54.833333333333336</v>
      </c>
      <c r="DNZ13" s="48"/>
      <c r="DOA13" s="49"/>
      <c r="DOB13" s="49"/>
      <c r="DOC13" s="49"/>
      <c r="DOD13" s="49"/>
      <c r="DOE13" s="49"/>
      <c r="DOF13" s="64">
        <f t="shared" si="279"/>
        <v>0</v>
      </c>
      <c r="DOG13" s="68">
        <f t="shared" si="280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1"/>
        <v>0</v>
      </c>
      <c r="DOO13" s="68">
        <f t="shared" si="282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3"/>
        <v>324</v>
      </c>
      <c r="DOW13" s="68">
        <f t="shared" si="284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5"/>
        <v>339</v>
      </c>
      <c r="DPE13" s="68">
        <f t="shared" si="286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7"/>
        <v>0</v>
      </c>
      <c r="DPM13" s="68">
        <f t="shared" si="288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9"/>
        <v>299</v>
      </c>
      <c r="DPU13" s="68">
        <f t="shared" si="290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1"/>
        <v>332</v>
      </c>
      <c r="DQC13" s="68">
        <f t="shared" si="292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3"/>
        <v>332</v>
      </c>
      <c r="DQK13" s="68">
        <f t="shared" si="294"/>
        <v>55.333333333333336</v>
      </c>
      <c r="DQL13" s="48"/>
      <c r="DQM13" s="49"/>
      <c r="DQN13" s="49"/>
      <c r="DQO13" s="49"/>
      <c r="DQP13" s="49"/>
      <c r="DQQ13" s="49"/>
      <c r="DQR13" s="64">
        <f t="shared" si="295"/>
        <v>0</v>
      </c>
      <c r="DQS13" s="68">
        <f t="shared" si="296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7"/>
        <v>329</v>
      </c>
      <c r="DRA13" s="68">
        <f t="shared" si="298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9"/>
        <v>335</v>
      </c>
      <c r="DRI13" s="68">
        <f t="shared" si="300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1"/>
        <v>323</v>
      </c>
      <c r="DRQ13" s="68">
        <f t="shared" si="302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3"/>
        <v>0</v>
      </c>
      <c r="DRY13" s="68">
        <f t="shared" si="304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5"/>
        <v>321</v>
      </c>
      <c r="DSG13" s="68">
        <f t="shared" si="306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7"/>
        <v>327</v>
      </c>
      <c r="DSO13" s="68">
        <f t="shared" si="308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9"/>
        <v>0</v>
      </c>
      <c r="DSW13" s="68">
        <f t="shared" si="310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1"/>
        <v>332</v>
      </c>
      <c r="DTE13" s="68">
        <f t="shared" si="312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3"/>
        <v>0</v>
      </c>
      <c r="DTM13" s="68">
        <f t="shared" si="314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5"/>
        <v>0</v>
      </c>
      <c r="DTU13" s="68">
        <f t="shared" si="316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7"/>
        <v>356</v>
      </c>
      <c r="DUC13" s="68">
        <f t="shared" si="318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9"/>
        <v>0</v>
      </c>
      <c r="DUK13" s="68">
        <f t="shared" si="320"/>
        <v>0</v>
      </c>
      <c r="DUL13" s="48"/>
      <c r="DUM13" s="49"/>
      <c r="DUN13" s="49"/>
      <c r="DUO13" s="49"/>
      <c r="DUP13" s="49"/>
      <c r="DUQ13" s="49"/>
      <c r="DUR13" s="64">
        <f t="shared" si="321"/>
        <v>0</v>
      </c>
      <c r="DUS13" s="68">
        <f t="shared" si="322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3"/>
        <v>334</v>
      </c>
      <c r="DVA13" s="68">
        <f t="shared" si="324"/>
        <v>55.666666666666664</v>
      </c>
      <c r="DVB13" s="48"/>
      <c r="DVC13" s="49"/>
      <c r="DVD13" s="49"/>
      <c r="DVE13" s="49"/>
      <c r="DVF13" s="49"/>
      <c r="DVG13" s="49"/>
      <c r="DVH13" s="64">
        <f t="shared" si="325"/>
        <v>0</v>
      </c>
      <c r="DVI13" s="68">
        <f t="shared" si="326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7"/>
        <v>339</v>
      </c>
      <c r="DVQ13" s="68">
        <f t="shared" si="328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9"/>
        <v>0</v>
      </c>
      <c r="DVY13" s="68">
        <f t="shared" si="330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1"/>
        <v>339</v>
      </c>
      <c r="DWG13" s="68">
        <f t="shared" si="332"/>
        <v>56.5</v>
      </c>
      <c r="DWH13" s="48"/>
      <c r="DWI13" s="49"/>
      <c r="DWJ13" s="49"/>
      <c r="DWK13" s="49"/>
      <c r="DWL13" s="49"/>
      <c r="DWM13" s="49"/>
      <c r="DWN13" s="64">
        <f t="shared" si="333"/>
        <v>0</v>
      </c>
      <c r="DWO13" s="68">
        <f t="shared" si="334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5"/>
        <v>300</v>
      </c>
      <c r="DWW13" s="68">
        <f t="shared" si="336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7"/>
        <v>0</v>
      </c>
      <c r="DXE13" s="68">
        <f t="shared" si="338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9"/>
        <v>327</v>
      </c>
      <c r="DXM13" s="68">
        <f t="shared" si="340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1"/>
        <v>0</v>
      </c>
      <c r="DXU13" s="184">
        <f t="shared" si="342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3"/>
        <v>340</v>
      </c>
      <c r="DYD13" s="211">
        <f t="shared" si="344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5"/>
        <v>334</v>
      </c>
      <c r="DYL13" s="211">
        <f t="shared" si="346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7"/>
        <v>0</v>
      </c>
      <c r="DYT13" s="211">
        <f t="shared" si="348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9"/>
        <v>329</v>
      </c>
      <c r="DZB13" s="211">
        <f t="shared" si="350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1"/>
        <v>343</v>
      </c>
      <c r="DZJ13" s="211">
        <f t="shared" si="352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3"/>
        <v>0</v>
      </c>
      <c r="DZR13" s="211">
        <f t="shared" si="354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5"/>
        <v>0</v>
      </c>
      <c r="DZZ13" s="211">
        <f t="shared" si="356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7"/>
        <v>0</v>
      </c>
      <c r="EAH13" s="211">
        <f t="shared" si="358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9"/>
        <v>346</v>
      </c>
      <c r="EAP13" s="211">
        <f t="shared" si="360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1"/>
        <v>331</v>
      </c>
      <c r="EAX13" s="211">
        <f t="shared" si="362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3"/>
        <v>0</v>
      </c>
      <c r="EBF13" s="211">
        <f t="shared" si="364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5"/>
        <v>338</v>
      </c>
      <c r="EBN13" s="211">
        <f t="shared" si="366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7"/>
        <v>332</v>
      </c>
      <c r="EBV13" s="184">
        <f t="shared" si="368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9"/>
        <v>324</v>
      </c>
      <c r="ECD13" s="211">
        <f t="shared" si="370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1"/>
        <v>328</v>
      </c>
      <c r="ECL13" s="211">
        <f t="shared" si="372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3"/>
        <v>0</v>
      </c>
      <c r="ECT13" s="211">
        <f t="shared" si="374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5"/>
        <v>336</v>
      </c>
      <c r="EDB13" s="211">
        <f t="shared" si="376"/>
        <v>56</v>
      </c>
      <c r="EDC13" s="195"/>
      <c r="EDD13" s="49"/>
      <c r="EDE13" s="49"/>
      <c r="EDF13" s="49"/>
      <c r="EDG13" s="49"/>
      <c r="EDH13" s="49"/>
      <c r="EDI13" s="64">
        <f t="shared" si="377"/>
        <v>0</v>
      </c>
      <c r="EDJ13" s="211">
        <f t="shared" si="378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9"/>
        <v>0</v>
      </c>
      <c r="EDR13" s="211">
        <f t="shared" si="380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1"/>
        <v>326</v>
      </c>
      <c r="EDZ13" s="707">
        <f t="shared" si="382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3"/>
        <v>0</v>
      </c>
      <c r="EEH13" s="211">
        <f t="shared" si="384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5"/>
        <v>315</v>
      </c>
      <c r="EEP13" s="211">
        <f t="shared" si="386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7"/>
        <v>0</v>
      </c>
      <c r="EEX13" s="211">
        <f t="shared" si="388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9"/>
        <v>325</v>
      </c>
      <c r="EFF13" s="211">
        <f t="shared" si="390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1"/>
        <v>316</v>
      </c>
      <c r="EFN13" s="211">
        <f t="shared" si="392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3"/>
        <v>607</v>
      </c>
      <c r="EFV13" s="211">
        <f t="shared" si="394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5"/>
        <v>0</v>
      </c>
      <c r="EGD13" s="211">
        <f t="shared" si="396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7"/>
        <v>617</v>
      </c>
      <c r="EGL13" s="211">
        <f t="shared" si="398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9"/>
        <v>323</v>
      </c>
      <c r="EGT13" s="211">
        <f t="shared" si="400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1"/>
        <v>323</v>
      </c>
      <c r="EHB13" s="211">
        <f t="shared" si="402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3"/>
        <v>562</v>
      </c>
      <c r="EHJ13" s="211">
        <f t="shared" si="404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5"/>
        <v>326</v>
      </c>
      <c r="EHR13" s="211">
        <f t="shared" si="406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7"/>
        <v>294</v>
      </c>
      <c r="EHZ13" s="211">
        <f t="shared" si="408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9"/>
        <v>664</v>
      </c>
      <c r="EIH13" s="211">
        <f t="shared" si="410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1"/>
        <v>632</v>
      </c>
      <c r="EIP13" s="211">
        <f t="shared" si="412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3"/>
        <v>1957</v>
      </c>
      <c r="EIX13" s="211">
        <f t="shared" si="414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5"/>
        <v>658</v>
      </c>
      <c r="EJF13" s="211">
        <f t="shared" si="416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7"/>
        <v>331</v>
      </c>
      <c r="EJN13" s="211">
        <f t="shared" si="418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9"/>
        <v>648</v>
      </c>
      <c r="EJV13" s="211">
        <f t="shared" si="420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1"/>
        <v>0</v>
      </c>
      <c r="EKD13" s="211">
        <f t="shared" si="422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3"/>
        <v>1584</v>
      </c>
      <c r="EKL13" s="211">
        <f t="shared" si="424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5"/>
        <v>0</v>
      </c>
      <c r="EKT13" s="211">
        <f t="shared" si="426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7"/>
        <v>0</v>
      </c>
      <c r="ELB13" s="211">
        <f t="shared" si="428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9"/>
        <v>1577</v>
      </c>
      <c r="ELJ13" s="211">
        <f t="shared" si="430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1"/>
        <v>951</v>
      </c>
      <c r="ELR13" s="211">
        <f t="shared" si="432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3"/>
        <v>0</v>
      </c>
      <c r="ELZ13" s="873">
        <f t="shared" si="434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5"/>
        <v>0</v>
      </c>
      <c r="EMH13" s="873">
        <f t="shared" si="436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7"/>
        <v>1315</v>
      </c>
      <c r="EMP13" s="873">
        <f t="shared" si="438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9"/>
        <v>0</v>
      </c>
      <c r="EMX13" s="873">
        <f t="shared" si="440"/>
        <v>0</v>
      </c>
      <c r="EMY13" s="195"/>
      <c r="EMZ13" s="49"/>
      <c r="ENA13" s="49"/>
      <c r="ENB13" s="49"/>
      <c r="ENC13" s="49"/>
      <c r="END13" s="49"/>
      <c r="ENE13" s="872">
        <f t="shared" si="441"/>
        <v>0</v>
      </c>
      <c r="ENF13" s="873">
        <f t="shared" si="442"/>
        <v>0</v>
      </c>
    </row>
    <row r="14" spans="1:3750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1465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1465</v>
      </c>
      <c r="M14" s="15">
        <f t="shared" si="1028"/>
        <v>1465</v>
      </c>
      <c r="N14" s="15">
        <v>108.5</v>
      </c>
      <c r="O14" s="276">
        <f t="shared" si="2"/>
        <v>13.502304147465438</v>
      </c>
      <c r="P14" s="277">
        <f t="shared" si="443"/>
        <v>53.333333333333336</v>
      </c>
      <c r="Q14" s="276">
        <f t="shared" si="3"/>
        <v>164.8125</v>
      </c>
      <c r="R14" s="277">
        <f t="shared" si="226"/>
        <v>12.307692307692308</v>
      </c>
      <c r="S14" s="222">
        <v>320</v>
      </c>
      <c r="T14" s="276">
        <f t="shared" si="4"/>
        <v>119.03125</v>
      </c>
      <c r="U14" s="278"/>
      <c r="V14" s="302">
        <f t="shared" si="5"/>
        <v>119.03125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4"/>
        <v>686</v>
      </c>
      <c r="AM14" s="43">
        <f t="shared" si="445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6"/>
        <v>638</v>
      </c>
      <c r="AU14" s="43">
        <f t="shared" si="447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8"/>
        <v>797</v>
      </c>
      <c r="BC14" s="43">
        <f t="shared" si="449"/>
        <v>132.83333333333334</v>
      </c>
      <c r="BD14" s="48"/>
      <c r="BE14" s="49"/>
      <c r="BF14" s="49"/>
      <c r="BG14" s="49"/>
      <c r="BH14" s="49"/>
      <c r="BI14" s="49"/>
      <c r="BJ14" s="42">
        <f t="shared" si="450"/>
        <v>0</v>
      </c>
      <c r="BK14" s="43">
        <f t="shared" si="451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52"/>
        <v>1174</v>
      </c>
      <c r="BS14" s="43">
        <f t="shared" si="453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4"/>
        <v>1382</v>
      </c>
      <c r="CA14" s="43">
        <f t="shared" si="455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6"/>
        <v>602</v>
      </c>
      <c r="CI14" s="43">
        <f t="shared" si="457"/>
        <v>100.33333333333333</v>
      </c>
      <c r="CJ14" s="48"/>
      <c r="CK14" s="49"/>
      <c r="CL14" s="49"/>
      <c r="CM14" s="49"/>
      <c r="CN14" s="49"/>
      <c r="CO14" s="49"/>
      <c r="CP14" s="42">
        <f t="shared" si="458"/>
        <v>0</v>
      </c>
      <c r="CQ14" s="43">
        <f t="shared" si="459"/>
        <v>0</v>
      </c>
      <c r="CR14" s="48">
        <v>102</v>
      </c>
      <c r="CS14" s="49"/>
      <c r="CT14" s="49"/>
      <c r="CU14" s="49"/>
      <c r="CV14" s="49"/>
      <c r="CW14" s="49"/>
      <c r="CX14" s="42">
        <f t="shared" si="460"/>
        <v>102</v>
      </c>
      <c r="CY14" s="43">
        <f t="shared" si="461"/>
        <v>17</v>
      </c>
      <c r="CZ14" s="48">
        <v>591</v>
      </c>
      <c r="DA14" s="49"/>
      <c r="DB14" s="49"/>
      <c r="DC14" s="49"/>
      <c r="DD14" s="49"/>
      <c r="DE14" s="49"/>
      <c r="DF14" s="42">
        <f t="shared" si="462"/>
        <v>591</v>
      </c>
      <c r="DG14" s="43">
        <f t="shared" si="463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4"/>
        <v>404</v>
      </c>
      <c r="DO14" s="43">
        <f t="shared" si="465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6"/>
        <v>397</v>
      </c>
      <c r="DW14" s="43">
        <f t="shared" si="467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8"/>
        <v>518</v>
      </c>
      <c r="EE14" s="43">
        <f t="shared" si="469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70"/>
        <v>399</v>
      </c>
      <c r="EM14" s="43">
        <f t="shared" si="471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72"/>
        <v>486</v>
      </c>
      <c r="EU14" s="43">
        <f t="shared" si="473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4"/>
        <v>399</v>
      </c>
      <c r="FC14" s="43">
        <f t="shared" si="475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6"/>
        <v>323</v>
      </c>
      <c r="FK14" s="43">
        <f t="shared" si="477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8"/>
        <v>1064</v>
      </c>
      <c r="FS14" s="43">
        <f t="shared" si="479"/>
        <v>177.33333333333334</v>
      </c>
      <c r="FT14" s="48"/>
      <c r="FU14" s="49"/>
      <c r="FV14" s="49"/>
      <c r="FW14" s="49"/>
      <c r="FX14" s="49"/>
      <c r="FY14" s="49"/>
      <c r="FZ14" s="42">
        <f t="shared" si="480"/>
        <v>0</v>
      </c>
      <c r="GA14" s="43">
        <f t="shared" si="481"/>
        <v>0</v>
      </c>
      <c r="GB14" s="48"/>
      <c r="GC14" s="49"/>
      <c r="GD14" s="49">
        <v>449</v>
      </c>
      <c r="GE14" s="49"/>
      <c r="GF14" s="49"/>
      <c r="GG14" s="49"/>
      <c r="GH14" s="42">
        <f t="shared" si="482"/>
        <v>449</v>
      </c>
      <c r="GI14" s="43">
        <f t="shared" si="483"/>
        <v>74.833333333333329</v>
      </c>
      <c r="GJ14" s="48"/>
      <c r="GK14" s="49"/>
      <c r="GL14" s="49"/>
      <c r="GM14" s="49"/>
      <c r="GN14" s="49"/>
      <c r="GO14" s="49"/>
      <c r="GP14" s="42">
        <f t="shared" si="484"/>
        <v>0</v>
      </c>
      <c r="GQ14" s="43">
        <f t="shared" si="485"/>
        <v>0</v>
      </c>
      <c r="GR14" s="48"/>
      <c r="GS14" s="49">
        <v>199</v>
      </c>
      <c r="GT14" s="49"/>
      <c r="GU14" s="49"/>
      <c r="GV14" s="49"/>
      <c r="GW14" s="49"/>
      <c r="GX14" s="42">
        <f t="shared" si="486"/>
        <v>199</v>
      </c>
      <c r="GY14" s="43">
        <f t="shared" si="487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8"/>
        <v>200</v>
      </c>
      <c r="HG14" s="43">
        <f t="shared" si="489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90"/>
        <v>199</v>
      </c>
      <c r="HO14" s="43">
        <f t="shared" si="491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92"/>
        <v>246</v>
      </c>
      <c r="HW14" s="43">
        <f t="shared" si="493"/>
        <v>41</v>
      </c>
      <c r="HX14" s="48"/>
      <c r="HY14" s="49">
        <v>100</v>
      </c>
      <c r="HZ14" s="49"/>
      <c r="IA14" s="49"/>
      <c r="IB14" s="49"/>
      <c r="IC14" s="49"/>
      <c r="ID14" s="42">
        <f t="shared" si="494"/>
        <v>100</v>
      </c>
      <c r="IE14" s="43">
        <f t="shared" si="495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6"/>
        <v>825</v>
      </c>
      <c r="IM14" s="43">
        <f t="shared" si="497"/>
        <v>137.5</v>
      </c>
      <c r="IN14" s="82"/>
      <c r="IO14" s="83"/>
      <c r="IP14" s="83"/>
      <c r="IQ14" s="83"/>
      <c r="IR14" s="83"/>
      <c r="IS14" s="83"/>
      <c r="IT14" s="42">
        <f t="shared" si="498"/>
        <v>0</v>
      </c>
      <c r="IU14" s="43">
        <f t="shared" si="499"/>
        <v>0</v>
      </c>
      <c r="IV14" s="48"/>
      <c r="IW14" s="49"/>
      <c r="IX14" s="49"/>
      <c r="IY14" s="49"/>
      <c r="IZ14" s="49"/>
      <c r="JA14" s="49"/>
      <c r="JB14" s="42">
        <f t="shared" si="500"/>
        <v>0</v>
      </c>
      <c r="JC14" s="43">
        <f t="shared" si="501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502"/>
        <v>383</v>
      </c>
      <c r="JK14" s="43">
        <f t="shared" si="503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4"/>
        <v>365</v>
      </c>
      <c r="JS14" s="43">
        <f t="shared" si="505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6"/>
        <v>205</v>
      </c>
      <c r="KA14" s="43">
        <f t="shared" si="507"/>
        <v>34.166666666666664</v>
      </c>
      <c r="KB14" s="48"/>
      <c r="KC14" s="49"/>
      <c r="KD14" s="49"/>
      <c r="KE14" s="49"/>
      <c r="KF14" s="49"/>
      <c r="KG14" s="49"/>
      <c r="KH14" s="42">
        <f t="shared" si="508"/>
        <v>0</v>
      </c>
      <c r="KI14" s="43">
        <f t="shared" si="509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10"/>
        <v>494</v>
      </c>
      <c r="KQ14" s="43">
        <f t="shared" si="511"/>
        <v>82.333333333333329</v>
      </c>
      <c r="KR14" s="48"/>
      <c r="KS14" s="49"/>
      <c r="KT14" s="49"/>
      <c r="KU14" s="49"/>
      <c r="KV14" s="49"/>
      <c r="KW14" s="49"/>
      <c r="KX14" s="42">
        <f t="shared" si="512"/>
        <v>0</v>
      </c>
      <c r="KY14" s="101">
        <f t="shared" si="513"/>
        <v>0</v>
      </c>
      <c r="KZ14" s="48"/>
      <c r="LA14" s="49"/>
      <c r="LB14" s="49"/>
      <c r="LC14" s="49"/>
      <c r="LD14" s="49"/>
      <c r="LE14" s="49"/>
      <c r="LF14" s="42">
        <f t="shared" si="514"/>
        <v>0</v>
      </c>
      <c r="LG14" s="43">
        <f t="shared" si="515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6"/>
        <v>727</v>
      </c>
      <c r="LO14" s="68">
        <f t="shared" si="517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8"/>
        <v>95</v>
      </c>
      <c r="LW14" s="68">
        <f t="shared" si="519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20"/>
        <v>199</v>
      </c>
      <c r="ME14" s="68">
        <f t="shared" si="521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22"/>
        <v>399</v>
      </c>
      <c r="MM14" s="43">
        <f t="shared" si="523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4"/>
        <v>200</v>
      </c>
      <c r="MU14" s="43">
        <f t="shared" si="525"/>
        <v>33.333333333333336</v>
      </c>
      <c r="MV14" s="48"/>
      <c r="MW14" s="49"/>
      <c r="MX14" s="49"/>
      <c r="MY14" s="49"/>
      <c r="MZ14" s="49"/>
      <c r="NA14" s="49"/>
      <c r="NB14" s="42">
        <f t="shared" si="526"/>
        <v>0</v>
      </c>
      <c r="NC14" s="43">
        <f t="shared" si="527"/>
        <v>0</v>
      </c>
      <c r="ND14" s="48"/>
      <c r="NE14" s="49"/>
      <c r="NF14" s="49"/>
      <c r="NG14" s="49"/>
      <c r="NH14" s="49"/>
      <c r="NI14" s="49"/>
      <c r="NJ14" s="42">
        <f t="shared" si="528"/>
        <v>0</v>
      </c>
      <c r="NK14" s="43">
        <f t="shared" si="529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30"/>
        <v>676</v>
      </c>
      <c r="NS14" s="43">
        <f t="shared" si="531"/>
        <v>112.66666666666667</v>
      </c>
      <c r="NT14" s="48"/>
      <c r="NU14" s="49"/>
      <c r="NV14" s="49"/>
      <c r="NW14" s="49"/>
      <c r="NX14" s="49"/>
      <c r="NY14" s="49"/>
      <c r="NZ14" s="42">
        <f t="shared" si="532"/>
        <v>0</v>
      </c>
      <c r="OA14" s="43">
        <f t="shared" si="533"/>
        <v>0</v>
      </c>
      <c r="OB14" s="48">
        <v>97</v>
      </c>
      <c r="OC14" s="49"/>
      <c r="OD14" s="49"/>
      <c r="OE14" s="49"/>
      <c r="OF14" s="49"/>
      <c r="OG14" s="49"/>
      <c r="OH14" s="42">
        <f t="shared" si="534"/>
        <v>97</v>
      </c>
      <c r="OI14" s="43">
        <f t="shared" si="535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6"/>
        <v>402</v>
      </c>
      <c r="OQ14" s="43">
        <f t="shared" si="537"/>
        <v>67</v>
      </c>
      <c r="OR14" s="48"/>
      <c r="OS14" s="49"/>
      <c r="OT14" s="49"/>
      <c r="OU14" s="49"/>
      <c r="OV14" s="49"/>
      <c r="OW14" s="49"/>
      <c r="OX14" s="67">
        <f t="shared" si="538"/>
        <v>0</v>
      </c>
      <c r="OY14" s="68">
        <f t="shared" si="539"/>
        <v>0</v>
      </c>
      <c r="OZ14" s="48"/>
      <c r="PA14" s="49"/>
      <c r="PB14" s="49">
        <v>316</v>
      </c>
      <c r="PC14" s="49"/>
      <c r="PD14" s="49"/>
      <c r="PE14" s="49"/>
      <c r="PF14" s="67">
        <f t="shared" si="540"/>
        <v>316</v>
      </c>
      <c r="PG14" s="68">
        <f t="shared" si="541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42"/>
        <v>740</v>
      </c>
      <c r="PO14" s="105">
        <f t="shared" si="543"/>
        <v>123.33333333333333</v>
      </c>
      <c r="PP14" s="106"/>
      <c r="PQ14" s="107"/>
      <c r="PR14" s="107"/>
      <c r="PS14" s="107"/>
      <c r="PT14" s="107"/>
      <c r="PU14" s="107"/>
      <c r="PV14" s="104">
        <f t="shared" si="544"/>
        <v>0</v>
      </c>
      <c r="PW14" s="105">
        <f t="shared" si="545"/>
        <v>0</v>
      </c>
      <c r="PX14" s="106"/>
      <c r="PY14" s="107"/>
      <c r="PZ14" s="107"/>
      <c r="QA14" s="107"/>
      <c r="QB14" s="107"/>
      <c r="QC14" s="107"/>
      <c r="QD14" s="104">
        <f t="shared" si="546"/>
        <v>0</v>
      </c>
      <c r="QE14" s="105">
        <f t="shared" si="547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8"/>
        <v>628</v>
      </c>
      <c r="QM14" s="105">
        <f t="shared" si="549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50"/>
        <v>471</v>
      </c>
      <c r="QU14" s="105">
        <f t="shared" si="551"/>
        <v>78.5</v>
      </c>
      <c r="QV14" s="106"/>
      <c r="QW14" s="107"/>
      <c r="QX14" s="107"/>
      <c r="QY14" s="107"/>
      <c r="QZ14" s="107"/>
      <c r="RA14" s="107"/>
      <c r="RB14" s="104">
        <f t="shared" si="552"/>
        <v>0</v>
      </c>
      <c r="RC14" s="105">
        <f t="shared" si="553"/>
        <v>0</v>
      </c>
      <c r="RD14" s="106"/>
      <c r="RE14" s="107"/>
      <c r="RF14" s="107"/>
      <c r="RG14" s="107"/>
      <c r="RH14" s="107"/>
      <c r="RI14" s="107"/>
      <c r="RJ14" s="104">
        <f t="shared" si="554"/>
        <v>0</v>
      </c>
      <c r="RK14" s="105">
        <f t="shared" si="555"/>
        <v>0</v>
      </c>
      <c r="RL14" s="106"/>
      <c r="RM14" s="107"/>
      <c r="RN14" s="107"/>
      <c r="RO14" s="107"/>
      <c r="RP14" s="107"/>
      <c r="RQ14" s="107"/>
      <c r="RR14" s="104">
        <f t="shared" si="556"/>
        <v>0</v>
      </c>
      <c r="RS14" s="105">
        <f t="shared" si="557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8"/>
        <v>372</v>
      </c>
      <c r="SA14" s="105">
        <f t="shared" si="559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60"/>
        <v>203</v>
      </c>
      <c r="SI14" s="105">
        <f t="shared" si="561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62"/>
        <v>403</v>
      </c>
      <c r="SQ14" s="105">
        <f t="shared" si="563"/>
        <v>67.166666666666671</v>
      </c>
      <c r="SR14" s="106"/>
      <c r="SS14" s="107"/>
      <c r="ST14" s="107"/>
      <c r="SU14" s="107"/>
      <c r="SV14" s="107"/>
      <c r="SW14" s="107"/>
      <c r="SX14" s="104">
        <f t="shared" si="564"/>
        <v>0</v>
      </c>
      <c r="SY14" s="105">
        <f t="shared" si="565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6"/>
        <v>535</v>
      </c>
      <c r="TG14" s="105">
        <f t="shared" si="567"/>
        <v>89.166666666666671</v>
      </c>
      <c r="TH14" s="106"/>
      <c r="TI14" s="107"/>
      <c r="TJ14" s="107"/>
      <c r="TK14" s="107"/>
      <c r="TL14" s="107"/>
      <c r="TM14" s="107"/>
      <c r="TN14" s="104">
        <f t="shared" si="568"/>
        <v>0</v>
      </c>
      <c r="TO14" s="105">
        <f t="shared" si="569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70"/>
        <v>0</v>
      </c>
      <c r="TX14" s="105">
        <f t="shared" si="571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72"/>
        <v>431</v>
      </c>
      <c r="UF14" s="105">
        <f t="shared" si="573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4"/>
        <v>198</v>
      </c>
      <c r="UN14" s="105">
        <f t="shared" si="575"/>
        <v>33</v>
      </c>
      <c r="UO14" s="106"/>
      <c r="UP14" s="107"/>
      <c r="UQ14" s="107"/>
      <c r="UR14" s="107"/>
      <c r="US14" s="107"/>
      <c r="UT14" s="107"/>
      <c r="UU14" s="104">
        <f t="shared" si="576"/>
        <v>0</v>
      </c>
      <c r="UV14" s="105">
        <f t="shared" si="577"/>
        <v>0</v>
      </c>
      <c r="UW14" s="106"/>
      <c r="UX14" s="107"/>
      <c r="UY14" s="107"/>
      <c r="UZ14" s="107"/>
      <c r="VA14" s="107"/>
      <c r="VB14" s="107"/>
      <c r="VC14" s="104">
        <f t="shared" si="578"/>
        <v>0</v>
      </c>
      <c r="VD14" s="105">
        <f t="shared" si="579"/>
        <v>0</v>
      </c>
      <c r="VE14" s="63">
        <v>262</v>
      </c>
      <c r="VF14" s="64"/>
      <c r="VG14" s="64"/>
      <c r="VH14" s="64"/>
      <c r="VI14" s="64"/>
      <c r="VJ14" s="64"/>
      <c r="VK14" s="67">
        <f t="shared" si="580"/>
        <v>262</v>
      </c>
      <c r="VL14" s="68">
        <f t="shared" si="581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82"/>
        <v>113</v>
      </c>
      <c r="VU14" s="68">
        <f t="shared" si="583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4"/>
        <v>538</v>
      </c>
      <c r="WD14" s="68">
        <f t="shared" si="585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6"/>
        <v>194</v>
      </c>
      <c r="WM14" s="68">
        <f t="shared" si="587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8"/>
        <v>433</v>
      </c>
      <c r="WV14" s="68">
        <f t="shared" si="589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90"/>
        <v>174</v>
      </c>
      <c r="XE14" s="105">
        <f t="shared" si="591"/>
        <v>29</v>
      </c>
      <c r="XF14" s="48"/>
      <c r="XG14" s="49"/>
      <c r="XH14" s="49"/>
      <c r="XI14" s="49"/>
      <c r="XJ14" s="49"/>
      <c r="XK14" s="49">
        <v>200</v>
      </c>
      <c r="XL14" s="67">
        <f t="shared" si="592"/>
        <v>200</v>
      </c>
      <c r="XM14" s="68">
        <f t="shared" si="593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4"/>
        <v>180</v>
      </c>
      <c r="XU14" s="68">
        <f t="shared" si="595"/>
        <v>30</v>
      </c>
      <c r="XV14" s="48"/>
      <c r="XW14" s="49"/>
      <c r="XX14" s="49"/>
      <c r="XY14" s="49"/>
      <c r="XZ14" s="24"/>
      <c r="YA14" s="49"/>
      <c r="YB14" s="67">
        <f t="shared" si="596"/>
        <v>0</v>
      </c>
      <c r="YC14" s="68">
        <f t="shared" si="597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8"/>
        <v>324</v>
      </c>
      <c r="YL14" s="68">
        <f t="shared" si="599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600"/>
        <v>200</v>
      </c>
      <c r="YU14" s="68">
        <f t="shared" si="601"/>
        <v>33.333333333333336</v>
      </c>
      <c r="YV14" s="48"/>
      <c r="YW14" s="49"/>
      <c r="YX14" s="49"/>
      <c r="YY14" s="49"/>
      <c r="YZ14" s="49"/>
      <c r="ZA14" s="49"/>
      <c r="ZB14" s="67">
        <f t="shared" si="602"/>
        <v>0</v>
      </c>
      <c r="ZC14" s="68">
        <f t="shared" si="603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4"/>
        <v>285</v>
      </c>
      <c r="ZK14" s="68">
        <f t="shared" si="605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6"/>
        <v>403</v>
      </c>
      <c r="ZS14" s="68">
        <f t="shared" si="607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8"/>
        <v>200</v>
      </c>
      <c r="AAA14" s="68">
        <f t="shared" si="609"/>
        <v>33.333333333333336</v>
      </c>
      <c r="AAB14" s="48"/>
      <c r="AAC14" s="49"/>
      <c r="AAD14" s="49"/>
      <c r="AAE14" s="49"/>
      <c r="AAF14" s="49"/>
      <c r="AAG14" s="49"/>
      <c r="AAH14" s="67">
        <f t="shared" si="610"/>
        <v>0</v>
      </c>
      <c r="AAI14" s="68">
        <f t="shared" si="611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12"/>
        <v>204</v>
      </c>
      <c r="AAQ14" s="68">
        <f t="shared" si="613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4"/>
        <v>276</v>
      </c>
      <c r="AAY14" s="68">
        <f t="shared" si="615"/>
        <v>46</v>
      </c>
      <c r="AAZ14" s="48"/>
      <c r="ABA14" s="49"/>
      <c r="ABB14" s="49"/>
      <c r="ABC14" s="49"/>
      <c r="ABD14" s="49"/>
      <c r="ABE14" s="49"/>
      <c r="ABF14" s="67">
        <f t="shared" si="616"/>
        <v>0</v>
      </c>
      <c r="ABG14" s="68">
        <f t="shared" si="617"/>
        <v>0</v>
      </c>
      <c r="ABH14" s="48"/>
      <c r="ABI14" s="49"/>
      <c r="ABJ14" s="49"/>
      <c r="ABK14" s="49"/>
      <c r="ABL14" s="49"/>
      <c r="ABM14" s="49"/>
      <c r="ABN14" s="67">
        <f t="shared" si="618"/>
        <v>0</v>
      </c>
      <c r="ABO14" s="68">
        <f t="shared" si="619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20"/>
        <v>208</v>
      </c>
      <c r="ABW14" s="68">
        <f t="shared" si="621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22"/>
        <v>314</v>
      </c>
      <c r="ACE14" s="68">
        <f t="shared" si="623"/>
        <v>52.333333333333336</v>
      </c>
      <c r="ACF14" s="48"/>
      <c r="ACG14" s="49"/>
      <c r="ACH14" s="49"/>
      <c r="ACI14" s="49"/>
      <c r="ACJ14" s="49"/>
      <c r="ACK14" s="49"/>
      <c r="ACL14" s="67">
        <f t="shared" si="624"/>
        <v>0</v>
      </c>
      <c r="ACM14" s="68">
        <f t="shared" si="625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6"/>
        <v>206</v>
      </c>
      <c r="ACU14" s="68">
        <f t="shared" si="627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8"/>
        <v>330</v>
      </c>
      <c r="ADC14" s="68">
        <f t="shared" si="629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30"/>
        <v>218</v>
      </c>
      <c r="ADK14" s="68">
        <f t="shared" si="631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32"/>
        <v>216</v>
      </c>
      <c r="ADS14" s="68">
        <f t="shared" si="633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4"/>
        <v>305</v>
      </c>
      <c r="AEA14" s="68">
        <f t="shared" si="635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6"/>
        <v>438</v>
      </c>
      <c r="AEI14" s="68">
        <f t="shared" si="637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8"/>
        <v>109</v>
      </c>
      <c r="AEQ14" s="68">
        <f t="shared" si="639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40"/>
        <v>100</v>
      </c>
      <c r="AEY14" s="68">
        <f t="shared" si="641"/>
        <v>10</v>
      </c>
      <c r="AEZ14" s="48"/>
      <c r="AFA14" s="49"/>
      <c r="AFB14" s="49"/>
      <c r="AFC14" s="49"/>
      <c r="AFD14" s="49"/>
      <c r="AFE14" s="49"/>
      <c r="AFF14" s="67">
        <f t="shared" si="642"/>
        <v>0</v>
      </c>
      <c r="AFG14" s="68">
        <f t="shared" si="643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4"/>
        <v>110</v>
      </c>
      <c r="AFO14" s="68">
        <f t="shared" si="645"/>
        <v>18.333333333333332</v>
      </c>
      <c r="AFP14" s="48"/>
      <c r="AFQ14" s="49"/>
      <c r="AFR14" s="49"/>
      <c r="AFS14" s="49"/>
      <c r="AFT14" s="49"/>
      <c r="AFU14" s="49"/>
      <c r="AFV14" s="67">
        <f t="shared" si="646"/>
        <v>0</v>
      </c>
      <c r="AFW14" s="68">
        <f t="shared" si="647"/>
        <v>0</v>
      </c>
      <c r="AFX14" s="48"/>
      <c r="AFY14" s="49"/>
      <c r="AFZ14" s="49"/>
      <c r="AGA14" s="49"/>
      <c r="AGB14" s="49"/>
      <c r="AGC14" s="49"/>
      <c r="AGD14" s="67">
        <f t="shared" si="648"/>
        <v>0</v>
      </c>
      <c r="AGE14" s="68">
        <f t="shared" si="649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50"/>
        <v>215</v>
      </c>
      <c r="AGM14" s="68">
        <f t="shared" si="651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52"/>
        <v>216</v>
      </c>
      <c r="AGU14" s="43">
        <f t="shared" si="653"/>
        <v>21.6</v>
      </c>
      <c r="AGV14" s="48"/>
      <c r="AGW14" s="49"/>
      <c r="AGX14" s="49"/>
      <c r="AGY14" s="49"/>
      <c r="AGZ14" s="49"/>
      <c r="AHA14" s="49"/>
      <c r="AHB14" s="42">
        <f t="shared" si="654"/>
        <v>0</v>
      </c>
      <c r="AHC14" s="43">
        <f t="shared" si="655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6"/>
        <v>108</v>
      </c>
      <c r="AHK14" s="43">
        <f t="shared" si="657"/>
        <v>10.8</v>
      </c>
      <c r="AHL14" s="48"/>
      <c r="AHM14" s="49"/>
      <c r="AHN14" s="49"/>
      <c r="AHO14" s="49"/>
      <c r="AHP14" s="49"/>
      <c r="AHQ14" s="49"/>
      <c r="AHR14" s="67">
        <f t="shared" si="658"/>
        <v>0</v>
      </c>
      <c r="AHS14" s="68">
        <f t="shared" si="659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60"/>
        <v>220</v>
      </c>
      <c r="AIA14" s="184">
        <f t="shared" si="661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62"/>
        <v>80</v>
      </c>
      <c r="AII14" s="184">
        <f t="shared" si="663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4"/>
        <v>108</v>
      </c>
      <c r="AIQ14" s="184">
        <f t="shared" si="665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6"/>
        <v>218</v>
      </c>
      <c r="AIY14" s="68">
        <f t="shared" si="667"/>
        <v>36.333333333333336</v>
      </c>
      <c r="AIZ14" s="48"/>
      <c r="AJA14" s="49"/>
      <c r="AJB14" s="49"/>
      <c r="AJC14" s="49"/>
      <c r="AJD14" s="49"/>
      <c r="AJE14" s="49"/>
      <c r="AJF14" s="67">
        <f t="shared" si="668"/>
        <v>0</v>
      </c>
      <c r="AJG14" s="68">
        <f t="shared" si="669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70"/>
        <v>110</v>
      </c>
      <c r="AJO14" s="43">
        <f t="shared" si="671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72"/>
        <v>112</v>
      </c>
      <c r="AJW14" s="43">
        <f t="shared" si="673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4"/>
        <v>365</v>
      </c>
      <c r="AKE14" s="43">
        <f t="shared" si="675"/>
        <v>60.833333333333336</v>
      </c>
      <c r="AKF14" s="48"/>
      <c r="AKG14" s="49"/>
      <c r="AKH14" s="49"/>
      <c r="AKI14" s="49"/>
      <c r="AKJ14" s="49"/>
      <c r="AKK14" s="49"/>
      <c r="AKL14" s="47">
        <f t="shared" si="676"/>
        <v>0</v>
      </c>
      <c r="AKM14" s="43">
        <f t="shared" si="677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8"/>
        <v>418</v>
      </c>
      <c r="AKU14" s="43">
        <f t="shared" si="679"/>
        <v>69.666666666666671</v>
      </c>
      <c r="AKV14" s="48"/>
      <c r="AKW14" s="49"/>
      <c r="AKX14" s="49"/>
      <c r="AKY14" s="49"/>
      <c r="AKZ14" s="49"/>
      <c r="ALA14" s="49"/>
      <c r="ALB14" s="47">
        <f t="shared" si="680"/>
        <v>0</v>
      </c>
      <c r="ALC14" s="43">
        <f t="shared" si="681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82"/>
        <v>110</v>
      </c>
      <c r="ALK14" s="43">
        <f t="shared" si="683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4"/>
        <v>243</v>
      </c>
      <c r="ALS14" s="68">
        <f t="shared" si="685"/>
        <v>40.5</v>
      </c>
      <c r="ALT14" s="48"/>
      <c r="ALU14" s="49"/>
      <c r="ALV14" s="49"/>
      <c r="ALW14" s="49"/>
      <c r="ALX14" s="49"/>
      <c r="ALY14" s="49"/>
      <c r="ALZ14" s="67">
        <f t="shared" si="686"/>
        <v>0</v>
      </c>
      <c r="AMA14" s="68">
        <f t="shared" si="687"/>
        <v>0</v>
      </c>
      <c r="AMB14" s="48"/>
      <c r="AMC14" s="49"/>
      <c r="AMD14" s="49"/>
      <c r="AME14" s="49"/>
      <c r="AMF14" s="49"/>
      <c r="AMG14" s="49"/>
      <c r="AMH14" s="67">
        <f t="shared" si="688"/>
        <v>0</v>
      </c>
      <c r="AMI14" s="68">
        <f t="shared" si="689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90"/>
        <v>100</v>
      </c>
      <c r="AMQ14" s="68">
        <f t="shared" si="691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92"/>
        <v>217</v>
      </c>
      <c r="AMY14" s="68">
        <f t="shared" si="693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4"/>
        <v>99</v>
      </c>
      <c r="ANG14" s="68">
        <f t="shared" si="695"/>
        <v>16.5</v>
      </c>
      <c r="ANH14" s="48"/>
      <c r="ANI14" s="49"/>
      <c r="ANJ14" s="49"/>
      <c r="ANK14" s="49"/>
      <c r="ANL14" s="49"/>
      <c r="ANM14" s="49"/>
      <c r="ANN14" s="67">
        <f t="shared" si="696"/>
        <v>0</v>
      </c>
      <c r="ANO14" s="68">
        <f t="shared" si="697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8"/>
        <v>311</v>
      </c>
      <c r="ANW14" s="68">
        <f t="shared" si="699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700"/>
        <v>100</v>
      </c>
      <c r="AOE14" s="68">
        <f t="shared" si="701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702"/>
        <v>109</v>
      </c>
      <c r="AOM14" s="68">
        <f t="shared" si="703"/>
        <v>18.166666666666668</v>
      </c>
      <c r="AON14" s="48"/>
      <c r="AOO14" s="49"/>
      <c r="AOP14" s="49"/>
      <c r="AOQ14" s="49"/>
      <c r="AOR14" s="49"/>
      <c r="AOS14" s="49"/>
      <c r="AOT14" s="67">
        <f t="shared" si="704"/>
        <v>0</v>
      </c>
      <c r="AOU14" s="68">
        <f t="shared" si="705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6"/>
        <v>217</v>
      </c>
      <c r="APC14" s="68">
        <f t="shared" si="707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8"/>
        <v>259</v>
      </c>
      <c r="APK14" s="68">
        <f t="shared" si="709"/>
        <v>43.166666666666664</v>
      </c>
      <c r="APL14" s="48"/>
      <c r="APM14" s="49"/>
      <c r="APN14" s="49"/>
      <c r="APO14" s="49"/>
      <c r="APP14" s="49"/>
      <c r="APQ14" s="49"/>
      <c r="APR14" s="67">
        <f t="shared" si="710"/>
        <v>0</v>
      </c>
      <c r="APS14" s="68">
        <f t="shared" si="711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12"/>
        <v>110</v>
      </c>
      <c r="AQA14" s="68">
        <f t="shared" si="713"/>
        <v>18.333333333333332</v>
      </c>
      <c r="AQB14" s="48"/>
      <c r="AQC14" s="49"/>
      <c r="AQD14" s="49"/>
      <c r="AQE14" s="49"/>
      <c r="AQF14" s="49"/>
      <c r="AQG14" s="49"/>
      <c r="AQH14" s="67">
        <f t="shared" si="714"/>
        <v>0</v>
      </c>
      <c r="AQI14" s="68">
        <f t="shared" si="715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6"/>
        <v>110</v>
      </c>
      <c r="AQQ14" s="43">
        <f t="shared" si="717"/>
        <v>18.333333333333332</v>
      </c>
      <c r="AQR14" s="48"/>
      <c r="AQS14" s="49"/>
      <c r="AQT14" s="49"/>
      <c r="AQU14" s="49"/>
      <c r="AQV14" s="49"/>
      <c r="AQW14" s="49"/>
      <c r="AQX14" s="42">
        <f t="shared" si="718"/>
        <v>0</v>
      </c>
      <c r="AQY14" s="43">
        <f t="shared" si="719"/>
        <v>0</v>
      </c>
      <c r="AQZ14" s="48"/>
      <c r="ARA14" s="49"/>
      <c r="ARB14" s="49"/>
      <c r="ARC14" s="49"/>
      <c r="ARD14" s="49"/>
      <c r="ARE14" s="49"/>
      <c r="ARF14" s="42">
        <f t="shared" si="720"/>
        <v>0</v>
      </c>
      <c r="ARG14" s="43">
        <f t="shared" si="721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22"/>
        <v>93</v>
      </c>
      <c r="ARO14" s="43">
        <f t="shared" si="723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4"/>
        <v>100</v>
      </c>
      <c r="ARW14" s="43">
        <f t="shared" si="725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6"/>
        <v>100</v>
      </c>
      <c r="ASE14" s="43">
        <f t="shared" si="727"/>
        <v>16.666666666666668</v>
      </c>
      <c r="ASF14" s="48"/>
      <c r="ASG14" s="49"/>
      <c r="ASH14" s="49"/>
      <c r="ASI14" s="49"/>
      <c r="ASJ14" s="49"/>
      <c r="ASK14" s="49"/>
      <c r="ASL14" s="42">
        <f t="shared" si="728"/>
        <v>0</v>
      </c>
      <c r="ASM14" s="43">
        <f t="shared" si="729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30"/>
        <v>110</v>
      </c>
      <c r="ASU14" s="43">
        <f t="shared" si="731"/>
        <v>18.333333333333332</v>
      </c>
      <c r="ASV14" s="48"/>
      <c r="ASW14" s="49"/>
      <c r="ASX14" s="49"/>
      <c r="ASY14" s="49"/>
      <c r="ASZ14" s="49"/>
      <c r="ATA14" s="49"/>
      <c r="ATB14" s="42">
        <f t="shared" si="732"/>
        <v>0</v>
      </c>
      <c r="ATC14" s="43">
        <f t="shared" si="733"/>
        <v>0</v>
      </c>
      <c r="ATD14" s="48"/>
      <c r="ATE14" s="49"/>
      <c r="ATF14" s="49"/>
      <c r="ATG14" s="49"/>
      <c r="ATH14" s="49"/>
      <c r="ATI14" s="49"/>
      <c r="ATJ14" s="42">
        <f t="shared" si="734"/>
        <v>0</v>
      </c>
      <c r="ATK14" s="43">
        <f t="shared" si="735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6"/>
        <v>216</v>
      </c>
      <c r="ATS14" s="43">
        <f t="shared" si="737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8"/>
        <v>111</v>
      </c>
      <c r="AUA14" s="43">
        <f t="shared" si="739"/>
        <v>18.5</v>
      </c>
      <c r="AUB14" s="48"/>
      <c r="AUC14" s="49"/>
      <c r="AUD14" s="49"/>
      <c r="AUE14" s="49"/>
      <c r="AUF14" s="49"/>
      <c r="AUG14" s="49"/>
      <c r="AUH14" s="42">
        <f t="shared" si="740"/>
        <v>0</v>
      </c>
      <c r="AUI14" s="43">
        <f t="shared" si="741"/>
        <v>0</v>
      </c>
      <c r="AUJ14" s="48"/>
      <c r="AUK14" s="49"/>
      <c r="AUL14" s="49"/>
      <c r="AUM14" s="49"/>
      <c r="AUN14" s="49"/>
      <c r="AUO14" s="49"/>
      <c r="AUP14" s="42">
        <f t="shared" si="742"/>
        <v>0</v>
      </c>
      <c r="AUQ14" s="43">
        <f t="shared" si="743"/>
        <v>0</v>
      </c>
      <c r="AUR14" s="48"/>
      <c r="AUS14" s="49"/>
      <c r="AUT14" s="49"/>
      <c r="AUU14" s="49"/>
      <c r="AUV14" s="49"/>
      <c r="AUW14" s="49"/>
      <c r="AUX14" s="42">
        <f t="shared" si="744"/>
        <v>0</v>
      </c>
      <c r="AUY14" s="43">
        <f t="shared" si="745"/>
        <v>0</v>
      </c>
      <c r="AUZ14" s="48"/>
      <c r="AVA14" s="49"/>
      <c r="AVB14" s="49"/>
      <c r="AVC14" s="49"/>
      <c r="AVD14" s="49"/>
      <c r="AVE14" s="49"/>
      <c r="AVF14" s="42">
        <f t="shared" si="746"/>
        <v>0</v>
      </c>
      <c r="AVG14" s="43">
        <f t="shared" si="747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8"/>
        <v>222</v>
      </c>
      <c r="AVO14" s="43">
        <f t="shared" si="749"/>
        <v>37</v>
      </c>
      <c r="AVP14" s="48"/>
      <c r="AVQ14" s="49"/>
      <c r="AVR14" s="49"/>
      <c r="AVS14" s="49"/>
      <c r="AVT14" s="49"/>
      <c r="AVU14" s="49"/>
      <c r="AVV14" s="42">
        <f t="shared" si="750"/>
        <v>0</v>
      </c>
      <c r="AVW14" s="43">
        <f t="shared" si="751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52"/>
        <v>216</v>
      </c>
      <c r="AWE14" s="43">
        <f t="shared" si="753"/>
        <v>36</v>
      </c>
      <c r="AWF14" s="48"/>
      <c r="AWG14" s="49"/>
      <c r="AWH14" s="49"/>
      <c r="AWI14" s="49"/>
      <c r="AWJ14" s="49"/>
      <c r="AWK14" s="49"/>
      <c r="AWL14" s="42">
        <f t="shared" si="754"/>
        <v>0</v>
      </c>
      <c r="AWM14" s="43">
        <f t="shared" si="755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6"/>
        <v>108</v>
      </c>
      <c r="AWU14" s="43">
        <f t="shared" si="757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8"/>
        <v>213</v>
      </c>
      <c r="AXC14" s="43">
        <f t="shared" si="759"/>
        <v>35.5</v>
      </c>
      <c r="AXD14" s="48"/>
      <c r="AXE14" s="49"/>
      <c r="AXF14" s="49"/>
      <c r="AXG14" s="49"/>
      <c r="AXH14" s="49"/>
      <c r="AXI14" s="49"/>
      <c r="AXJ14" s="42">
        <f t="shared" si="760"/>
        <v>0</v>
      </c>
      <c r="AXK14" s="43">
        <f t="shared" si="761"/>
        <v>0</v>
      </c>
      <c r="AXL14" s="48"/>
      <c r="AXM14" s="49"/>
      <c r="AXN14" s="49"/>
      <c r="AXO14" s="49"/>
      <c r="AXP14" s="49"/>
      <c r="AXQ14" s="49"/>
      <c r="AXR14" s="42">
        <f t="shared" si="762"/>
        <v>0</v>
      </c>
      <c r="AXS14" s="43">
        <f t="shared" si="763"/>
        <v>0</v>
      </c>
      <c r="AXT14" s="48"/>
      <c r="AXU14" s="49"/>
      <c r="AXV14" s="49"/>
      <c r="AXW14" s="49"/>
      <c r="AXX14" s="49"/>
      <c r="AXY14" s="49"/>
      <c r="AXZ14" s="42">
        <f t="shared" si="764"/>
        <v>0</v>
      </c>
      <c r="AYA14" s="43">
        <f t="shared" si="765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6"/>
        <v>201</v>
      </c>
      <c r="AYI14" s="43">
        <f t="shared" si="767"/>
        <v>33.5</v>
      </c>
      <c r="AYJ14" s="48"/>
      <c r="AYK14" s="49"/>
      <c r="AYL14" s="49"/>
      <c r="AYM14" s="49"/>
      <c r="AYN14" s="49"/>
      <c r="AYO14" s="49"/>
      <c r="AYP14" s="42">
        <f t="shared" si="768"/>
        <v>0</v>
      </c>
      <c r="AYQ14" s="43">
        <f t="shared" si="769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70"/>
        <v>111</v>
      </c>
      <c r="AYY14" s="43">
        <f t="shared" si="771"/>
        <v>18.5</v>
      </c>
      <c r="AYZ14" s="48"/>
      <c r="AZA14" s="49"/>
      <c r="AZB14" s="49"/>
      <c r="AZC14" s="49"/>
      <c r="AZD14" s="49"/>
      <c r="AZE14" s="49"/>
      <c r="AZF14" s="42">
        <f t="shared" si="772"/>
        <v>0</v>
      </c>
      <c r="AZG14" s="43">
        <f t="shared" si="773"/>
        <v>0</v>
      </c>
      <c r="AZH14" s="82"/>
      <c r="AZI14" s="83"/>
      <c r="AZJ14" s="83"/>
      <c r="AZK14" s="83"/>
      <c r="AZL14" s="83"/>
      <c r="AZM14" s="83"/>
      <c r="AZN14" s="42">
        <f t="shared" si="774"/>
        <v>0</v>
      </c>
      <c r="AZO14" s="43">
        <f t="shared" si="775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6"/>
        <v>215</v>
      </c>
      <c r="AZW14" s="43">
        <f t="shared" si="777"/>
        <v>35.833333333333336</v>
      </c>
      <c r="AZX14" s="239"/>
      <c r="AZY14" s="1"/>
      <c r="AZZ14" s="1"/>
      <c r="BAA14" s="1"/>
      <c r="BAB14" s="1"/>
      <c r="BAC14" s="1"/>
      <c r="BAD14" s="42">
        <f t="shared" si="778"/>
        <v>0</v>
      </c>
      <c r="BAE14" s="43">
        <f t="shared" si="779"/>
        <v>0</v>
      </c>
      <c r="BAF14" s="48"/>
      <c r="BAG14" s="49"/>
      <c r="BAH14" s="49"/>
      <c r="BAI14" s="49"/>
      <c r="BAJ14" s="49"/>
      <c r="BAK14" s="49"/>
      <c r="BAL14" s="42">
        <f t="shared" si="780"/>
        <v>0</v>
      </c>
      <c r="BAM14" s="43">
        <f t="shared" si="781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82"/>
        <v>220</v>
      </c>
      <c r="BAU14" s="43">
        <f t="shared" si="783"/>
        <v>36.666666666666664</v>
      </c>
      <c r="BAV14" s="48"/>
      <c r="BAW14" s="49"/>
      <c r="BAX14" s="49"/>
      <c r="BAY14" s="49"/>
      <c r="BAZ14" s="49"/>
      <c r="BBA14" s="49"/>
      <c r="BBB14" s="42">
        <f t="shared" si="784"/>
        <v>0</v>
      </c>
      <c r="BBC14" s="43">
        <f t="shared" si="785"/>
        <v>0</v>
      </c>
      <c r="BBD14" s="48"/>
      <c r="BBE14" s="49"/>
      <c r="BBF14" s="49"/>
      <c r="BBG14" s="49"/>
      <c r="BBH14" s="49"/>
      <c r="BBI14" s="49"/>
      <c r="BBJ14" s="42">
        <f t="shared" si="786"/>
        <v>0</v>
      </c>
      <c r="BBK14" s="43">
        <f t="shared" si="787"/>
        <v>0</v>
      </c>
      <c r="BBL14" s="48"/>
      <c r="BBM14" s="49"/>
      <c r="BBN14" s="49"/>
      <c r="BBO14" s="49"/>
      <c r="BBP14" s="49"/>
      <c r="BBQ14" s="49"/>
      <c r="BBR14" s="42">
        <f t="shared" si="788"/>
        <v>0</v>
      </c>
      <c r="BBS14" s="43">
        <f t="shared" si="789"/>
        <v>0</v>
      </c>
      <c r="BBT14" s="48"/>
      <c r="BBU14" s="49"/>
      <c r="BBV14" s="49"/>
      <c r="BBW14" s="49"/>
      <c r="BBX14" s="49"/>
      <c r="BBY14" s="49"/>
      <c r="BBZ14" s="42">
        <f t="shared" si="790"/>
        <v>0</v>
      </c>
      <c r="BCA14" s="43">
        <f t="shared" si="791"/>
        <v>0</v>
      </c>
      <c r="BCB14" s="48"/>
      <c r="BCC14" s="49"/>
      <c r="BCD14" s="49"/>
      <c r="BCE14" s="49"/>
      <c r="BCF14" s="49"/>
      <c r="BCG14" s="49"/>
      <c r="BCH14" s="42">
        <f t="shared" si="792"/>
        <v>0</v>
      </c>
      <c r="BCI14" s="43">
        <f t="shared" si="793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4"/>
        <v>206</v>
      </c>
      <c r="BCQ14" s="43">
        <f t="shared" si="795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6"/>
        <v>220</v>
      </c>
      <c r="BCY14" s="43">
        <f t="shared" si="797"/>
        <v>36.666666666666664</v>
      </c>
      <c r="BCZ14" s="48"/>
      <c r="BDA14" s="49"/>
      <c r="BDB14" s="49"/>
      <c r="BDC14" s="49"/>
      <c r="BDD14" s="49"/>
      <c r="BDE14" s="49"/>
      <c r="BDF14" s="42">
        <f t="shared" si="798"/>
        <v>0</v>
      </c>
      <c r="BDG14" s="43">
        <f t="shared" si="799"/>
        <v>0</v>
      </c>
      <c r="BDH14" s="48"/>
      <c r="BDI14" s="49"/>
      <c r="BDJ14" s="49"/>
      <c r="BDK14" s="49"/>
      <c r="BDL14" s="49"/>
      <c r="BDM14" s="49"/>
      <c r="BDN14" s="42">
        <f t="shared" si="800"/>
        <v>0</v>
      </c>
      <c r="BDO14" s="43">
        <f t="shared" si="801"/>
        <v>0</v>
      </c>
      <c r="BDP14" s="48"/>
      <c r="BDQ14" s="49"/>
      <c r="BDR14" s="49"/>
      <c r="BDS14" s="49"/>
      <c r="BDT14" s="49"/>
      <c r="BDU14" s="49"/>
      <c r="BDV14" s="42">
        <f t="shared" si="802"/>
        <v>0</v>
      </c>
      <c r="BDW14" s="43">
        <f t="shared" si="803"/>
        <v>0</v>
      </c>
      <c r="BDX14" s="48"/>
      <c r="BDY14" s="49"/>
      <c r="BDZ14" s="49"/>
      <c r="BEA14" s="49"/>
      <c r="BEB14" s="49"/>
      <c r="BEC14" s="49"/>
      <c r="BED14" s="42">
        <f t="shared" si="804"/>
        <v>0</v>
      </c>
      <c r="BEE14" s="43">
        <f t="shared" si="805"/>
        <v>0</v>
      </c>
      <c r="BEF14" s="48"/>
      <c r="BEG14" s="49"/>
      <c r="BEH14" s="49"/>
      <c r="BEI14" s="49"/>
      <c r="BEJ14" s="49"/>
      <c r="BEK14" s="49"/>
      <c r="BEL14" s="42">
        <f t="shared" si="806"/>
        <v>0</v>
      </c>
      <c r="BEM14" s="43">
        <f t="shared" si="807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8"/>
        <v>306</v>
      </c>
      <c r="BEU14" s="43">
        <f t="shared" si="809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10"/>
        <v>425</v>
      </c>
      <c r="BFC14" s="43">
        <f t="shared" si="811"/>
        <v>70.833333333333329</v>
      </c>
      <c r="BFD14" s="48"/>
      <c r="BFE14" s="49"/>
      <c r="BFF14" s="49"/>
      <c r="BFG14" s="49"/>
      <c r="BFH14" s="49"/>
      <c r="BFI14" s="49"/>
      <c r="BFJ14" s="42">
        <f t="shared" si="812"/>
        <v>0</v>
      </c>
      <c r="BFK14" s="43">
        <f t="shared" si="813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4"/>
        <v>40</v>
      </c>
      <c r="BFS14" s="43">
        <f t="shared" si="815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6"/>
        <v>40</v>
      </c>
      <c r="BGA14" s="43">
        <f t="shared" si="817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8"/>
        <v>53</v>
      </c>
      <c r="BGI14" s="43">
        <f t="shared" si="819"/>
        <v>8.8333333333333339</v>
      </c>
      <c r="BGJ14" s="48"/>
      <c r="BGK14" s="49"/>
      <c r="BGL14" s="49"/>
      <c r="BGM14" s="49"/>
      <c r="BGN14" s="49"/>
      <c r="BGO14" s="49"/>
      <c r="BGP14" s="42">
        <f t="shared" si="820"/>
        <v>0</v>
      </c>
      <c r="BGQ14" s="43">
        <f t="shared" si="821"/>
        <v>0</v>
      </c>
      <c r="BGR14" s="48"/>
      <c r="BGS14" s="49"/>
      <c r="BGT14" s="49"/>
      <c r="BGU14" s="49"/>
      <c r="BGV14" s="49"/>
      <c r="BGW14" s="49"/>
      <c r="BGX14" s="42">
        <f t="shared" si="822"/>
        <v>0</v>
      </c>
      <c r="BGY14" s="43">
        <f t="shared" si="823"/>
        <v>0</v>
      </c>
      <c r="BGZ14" s="48"/>
      <c r="BHA14" s="49"/>
      <c r="BHB14" s="49"/>
      <c r="BHC14" s="49"/>
      <c r="BHD14" s="49"/>
      <c r="BHE14" s="49"/>
      <c r="BHF14" s="42">
        <f t="shared" si="824"/>
        <v>0</v>
      </c>
      <c r="BHG14" s="43">
        <f t="shared" si="825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6"/>
        <v>81</v>
      </c>
      <c r="BHO14" s="43">
        <f t="shared" si="827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8"/>
        <v>99</v>
      </c>
      <c r="BHW14" s="43">
        <f t="shared" si="829"/>
        <v>16.5</v>
      </c>
      <c r="BHX14" s="48"/>
      <c r="BHY14" s="49"/>
      <c r="BHZ14" s="49"/>
      <c r="BIA14" s="49"/>
      <c r="BIB14" s="49"/>
      <c r="BIC14" s="49"/>
      <c r="BID14" s="42">
        <f t="shared" si="830"/>
        <v>0</v>
      </c>
      <c r="BIE14" s="43">
        <f t="shared" si="831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32"/>
        <v>99</v>
      </c>
      <c r="BIM14" s="43">
        <f t="shared" si="833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4"/>
        <v>219</v>
      </c>
      <c r="BIU14" s="43">
        <f t="shared" si="835"/>
        <v>36.5</v>
      </c>
      <c r="BIV14" s="48"/>
      <c r="BIW14" s="49"/>
      <c r="BIX14" s="49"/>
      <c r="BIY14" s="49"/>
      <c r="BIZ14" s="49"/>
      <c r="BJA14" s="49"/>
      <c r="BJB14" s="42">
        <f t="shared" si="836"/>
        <v>0</v>
      </c>
      <c r="BJC14" s="43">
        <f t="shared" si="837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8"/>
        <v>110</v>
      </c>
      <c r="BJK14" s="43">
        <f t="shared" si="839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40"/>
        <v>110</v>
      </c>
      <c r="BJS14" s="43">
        <f t="shared" si="841"/>
        <v>18.333333333333332</v>
      </c>
      <c r="BJT14" s="48"/>
      <c r="BJU14" s="49"/>
      <c r="BJV14" s="49"/>
      <c r="BJW14" s="49"/>
      <c r="BJX14" s="49"/>
      <c r="BJY14" s="49"/>
      <c r="BJZ14" s="67">
        <f t="shared" si="842"/>
        <v>0</v>
      </c>
      <c r="BKA14" s="43">
        <f t="shared" si="843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4"/>
        <v>19</v>
      </c>
      <c r="BKI14" s="43">
        <f t="shared" si="845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6"/>
        <v>110</v>
      </c>
      <c r="BKQ14" s="43">
        <f t="shared" si="847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8"/>
        <v>110</v>
      </c>
      <c r="BKY14" s="43">
        <f t="shared" si="849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50"/>
        <v>108</v>
      </c>
      <c r="BLG14" s="43">
        <f t="shared" si="851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52"/>
        <v>322</v>
      </c>
      <c r="BLO14" s="68">
        <f t="shared" si="853"/>
        <v>53.666666666666664</v>
      </c>
      <c r="BLP14" s="48"/>
      <c r="BLQ14" s="49"/>
      <c r="BLR14" s="49"/>
      <c r="BLS14" s="49"/>
      <c r="BLT14" s="49"/>
      <c r="BLU14" s="49"/>
      <c r="BLV14" s="67">
        <f t="shared" si="854"/>
        <v>0</v>
      </c>
      <c r="BLW14" s="68">
        <f t="shared" si="855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6"/>
        <v>110</v>
      </c>
      <c r="BME14" s="43">
        <f t="shared" si="857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8"/>
        <v>108</v>
      </c>
      <c r="BMM14" s="43">
        <f t="shared" si="859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60"/>
        <v>220</v>
      </c>
      <c r="BMU14" s="43">
        <f t="shared" si="861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62"/>
        <v>211</v>
      </c>
      <c r="BNC14" s="43">
        <f t="shared" si="863"/>
        <v>35.166666666666664</v>
      </c>
      <c r="BND14" s="48"/>
      <c r="BNE14" s="49"/>
      <c r="BNF14" s="49"/>
      <c r="BNG14" s="49"/>
      <c r="BNH14" s="49"/>
      <c r="BNI14" s="49"/>
      <c r="BNJ14" s="67">
        <f t="shared" si="864"/>
        <v>0</v>
      </c>
      <c r="BNK14" s="184">
        <f t="shared" si="865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6"/>
        <v>110</v>
      </c>
      <c r="BNS14" s="211">
        <f t="shared" si="867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8"/>
        <v>109</v>
      </c>
      <c r="BOA14" s="184">
        <f t="shared" si="869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70"/>
        <v>110</v>
      </c>
      <c r="BOI14" s="68">
        <f t="shared" si="871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72"/>
        <v>108</v>
      </c>
      <c r="BOQ14" s="68">
        <f t="shared" si="873"/>
        <v>18</v>
      </c>
      <c r="BOR14" s="48"/>
      <c r="BOS14" s="49"/>
      <c r="BOT14" s="49"/>
      <c r="BOU14" s="49"/>
      <c r="BOV14" s="49"/>
      <c r="BOW14" s="49"/>
      <c r="BOX14" s="67">
        <f t="shared" si="874"/>
        <v>0</v>
      </c>
      <c r="BOY14" s="68">
        <f t="shared" si="875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6"/>
        <v>221</v>
      </c>
      <c r="BPG14" s="68">
        <f t="shared" si="877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8"/>
        <v>108</v>
      </c>
      <c r="BPO14" s="68">
        <f t="shared" si="879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80"/>
        <v>110</v>
      </c>
      <c r="BPW14" s="68">
        <f t="shared" si="881"/>
        <v>18.333333333333332</v>
      </c>
      <c r="BPX14" s="48"/>
      <c r="BPY14" s="49"/>
      <c r="BPZ14" s="49"/>
      <c r="BQA14" s="49"/>
      <c r="BQB14" s="49"/>
      <c r="BQC14" s="49"/>
      <c r="BQD14" s="67">
        <f t="shared" si="882"/>
        <v>0</v>
      </c>
      <c r="BQE14" s="68">
        <f t="shared" si="883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4"/>
        <v>110</v>
      </c>
      <c r="BQM14" s="68">
        <f t="shared" si="885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6"/>
        <v>218</v>
      </c>
      <c r="BQU14" s="68">
        <f t="shared" si="887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8"/>
        <v>109</v>
      </c>
      <c r="BRC14" s="68">
        <f t="shared" si="889"/>
        <v>18.166666666666668</v>
      </c>
      <c r="BRD14" s="48"/>
      <c r="BRE14" s="49"/>
      <c r="BRF14" s="49"/>
      <c r="BRG14" s="49"/>
      <c r="BRH14" s="49"/>
      <c r="BRI14" s="49"/>
      <c r="BRJ14" s="67">
        <f t="shared" si="890"/>
        <v>0</v>
      </c>
      <c r="BRK14" s="68">
        <f t="shared" si="891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92"/>
        <v>110</v>
      </c>
      <c r="BRS14" s="68">
        <f t="shared" si="893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4"/>
        <v>221</v>
      </c>
      <c r="BSA14" s="68">
        <f t="shared" si="895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6"/>
        <v>110</v>
      </c>
      <c r="BSI14" s="68">
        <f t="shared" si="897"/>
        <v>18.333333333333332</v>
      </c>
      <c r="BSJ14" s="48"/>
      <c r="BSK14" s="49"/>
      <c r="BSL14" s="49"/>
      <c r="BSM14" s="49"/>
      <c r="BSN14" s="49"/>
      <c r="BSO14" s="49"/>
      <c r="BSP14" s="67">
        <f t="shared" si="898"/>
        <v>0</v>
      </c>
      <c r="BSQ14" s="68">
        <f t="shared" si="899"/>
        <v>0</v>
      </c>
      <c r="BSR14" s="48"/>
      <c r="BSS14" s="49"/>
      <c r="BST14" s="49"/>
      <c r="BSU14" s="49"/>
      <c r="BSV14" s="49"/>
      <c r="BSW14" s="49"/>
      <c r="BSX14" s="67">
        <f t="shared" si="900"/>
        <v>0</v>
      </c>
      <c r="BSY14" s="68">
        <f t="shared" si="901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902"/>
        <v>245</v>
      </c>
      <c r="BTG14" s="68">
        <f t="shared" si="903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4"/>
        <v>108</v>
      </c>
      <c r="BTO14" s="68">
        <f t="shared" si="905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6"/>
        <v>109</v>
      </c>
      <c r="BTW14" s="68">
        <f t="shared" si="907"/>
        <v>18.166666666666668</v>
      </c>
      <c r="BTX14" s="48"/>
      <c r="BTY14" s="49"/>
      <c r="BTZ14" s="49"/>
      <c r="BUA14" s="49"/>
      <c r="BUB14" s="49"/>
      <c r="BUC14" s="49"/>
      <c r="BUD14" s="67">
        <f t="shared" si="908"/>
        <v>0</v>
      </c>
      <c r="BUE14" s="68">
        <f t="shared" si="909"/>
        <v>0</v>
      </c>
      <c r="BUF14" s="48"/>
      <c r="BUG14" s="49"/>
      <c r="BUH14" s="49"/>
      <c r="BUI14" s="49"/>
      <c r="BUJ14" s="49"/>
      <c r="BUK14" s="49"/>
      <c r="BUL14" s="67">
        <f t="shared" si="910"/>
        <v>0</v>
      </c>
      <c r="BUM14" s="68">
        <f t="shared" si="911"/>
        <v>0</v>
      </c>
      <c r="BUN14" s="48"/>
      <c r="BUO14" s="49"/>
      <c r="BUP14" s="49"/>
      <c r="BUQ14" s="49"/>
      <c r="BUR14" s="49"/>
      <c r="BUS14" s="49"/>
      <c r="BUT14" s="67">
        <f t="shared" si="912"/>
        <v>0</v>
      </c>
      <c r="BUU14" s="68">
        <f t="shared" si="913"/>
        <v>0</v>
      </c>
      <c r="BUV14" s="48"/>
      <c r="BUW14" s="49"/>
      <c r="BUX14" s="49"/>
      <c r="BUY14" s="49"/>
      <c r="BUZ14" s="49"/>
      <c r="BVA14" s="49"/>
      <c r="BVB14" s="67">
        <f t="shared" si="914"/>
        <v>0</v>
      </c>
      <c r="BVC14" s="68">
        <f t="shared" si="915"/>
        <v>0</v>
      </c>
      <c r="BVD14" s="48"/>
      <c r="BVE14" s="49"/>
      <c r="BVF14" s="49"/>
      <c r="BVG14" s="49"/>
      <c r="BVH14" s="49"/>
      <c r="BVI14" s="49"/>
      <c r="BVJ14" s="67">
        <f t="shared" si="916"/>
        <v>0</v>
      </c>
      <c r="BVK14" s="68">
        <f t="shared" si="917"/>
        <v>0</v>
      </c>
      <c r="BVL14" s="48"/>
      <c r="BVM14" s="49"/>
      <c r="BVN14" s="49"/>
      <c r="BVO14" s="49"/>
      <c r="BVP14" s="49"/>
      <c r="BVQ14" s="49"/>
      <c r="BVR14" s="67">
        <f t="shared" si="918"/>
        <v>0</v>
      </c>
      <c r="BVS14" s="68">
        <f t="shared" si="919"/>
        <v>0</v>
      </c>
      <c r="BVT14" s="48"/>
      <c r="BVU14" s="49"/>
      <c r="BVV14" s="49"/>
      <c r="BVW14" s="49"/>
      <c r="BVX14" s="49"/>
      <c r="BVY14" s="49"/>
      <c r="BVZ14" s="67">
        <f t="shared" si="920"/>
        <v>0</v>
      </c>
      <c r="BWA14" s="68">
        <f t="shared" si="921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22"/>
        <v>270</v>
      </c>
      <c r="BWI14" s="68">
        <f t="shared" si="923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4"/>
        <v>216</v>
      </c>
      <c r="BWQ14" s="68">
        <f t="shared" si="925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6"/>
        <v>223</v>
      </c>
      <c r="BWY14" s="68">
        <f t="shared" si="927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8"/>
        <v>222</v>
      </c>
      <c r="BXG14" s="68">
        <f t="shared" si="929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30"/>
        <v>467</v>
      </c>
      <c r="BXO14" s="68">
        <f t="shared" si="931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32"/>
        <v>110</v>
      </c>
      <c r="BXW14" s="68">
        <f t="shared" si="933"/>
        <v>18.333333333333332</v>
      </c>
      <c r="BXX14" s="48"/>
      <c r="BXY14" s="49"/>
      <c r="BXZ14" s="49"/>
      <c r="BYA14" s="49"/>
      <c r="BYB14" s="49"/>
      <c r="BYC14" s="49"/>
      <c r="BYD14" s="67">
        <f t="shared" si="934"/>
        <v>0</v>
      </c>
      <c r="BYE14" s="68">
        <f t="shared" si="935"/>
        <v>0</v>
      </c>
      <c r="BYF14" s="48"/>
      <c r="BYG14" s="49"/>
      <c r="BYH14" s="49"/>
      <c r="BYI14" s="49"/>
      <c r="BYJ14" s="49"/>
      <c r="BYK14" s="49"/>
      <c r="BYL14" s="67">
        <f t="shared" si="936"/>
        <v>0</v>
      </c>
      <c r="BYM14" s="68">
        <f t="shared" si="937"/>
        <v>0</v>
      </c>
      <c r="BYN14" s="48"/>
      <c r="BYO14" s="49"/>
      <c r="BYP14" s="49"/>
      <c r="BYQ14" s="49"/>
      <c r="BYR14" s="49"/>
      <c r="BYS14" s="49"/>
      <c r="BYT14" s="67">
        <f t="shared" si="938"/>
        <v>0</v>
      </c>
      <c r="BYU14" s="68">
        <f t="shared" si="939"/>
        <v>0</v>
      </c>
      <c r="BYV14" s="48"/>
      <c r="BYW14" s="49"/>
      <c r="BYX14" s="49"/>
      <c r="BYY14" s="49"/>
      <c r="BYZ14" s="49"/>
      <c r="BZA14" s="49"/>
      <c r="BZB14" s="67">
        <f t="shared" si="940"/>
        <v>0</v>
      </c>
      <c r="BZC14" s="68">
        <f t="shared" si="941"/>
        <v>0</v>
      </c>
      <c r="BZD14" s="239"/>
      <c r="BZE14" s="1"/>
      <c r="BZF14" s="1"/>
      <c r="BZG14" s="1"/>
      <c r="BZH14" s="1"/>
      <c r="BZI14" s="1"/>
      <c r="BZJ14" s="67">
        <f t="shared" si="942"/>
        <v>0</v>
      </c>
      <c r="BZK14" s="68">
        <f t="shared" si="943"/>
        <v>0</v>
      </c>
      <c r="BZL14" s="48"/>
      <c r="BZM14" s="49"/>
      <c r="BZN14" s="49"/>
      <c r="BZO14" s="49"/>
      <c r="BZP14" s="49"/>
      <c r="BZQ14" s="49"/>
      <c r="BZR14" s="67">
        <f t="shared" si="944"/>
        <v>0</v>
      </c>
      <c r="BZS14" s="68">
        <f t="shared" si="945"/>
        <v>0</v>
      </c>
      <c r="BZT14" s="48"/>
      <c r="BZU14" s="49"/>
      <c r="BZV14" s="49"/>
      <c r="BZW14" s="49"/>
      <c r="BZX14" s="49"/>
      <c r="BZY14" s="49"/>
      <c r="BZZ14" s="67">
        <f t="shared" si="946"/>
        <v>0</v>
      </c>
      <c r="CAA14" s="68">
        <f t="shared" si="947"/>
        <v>0</v>
      </c>
      <c r="CAB14" s="48"/>
      <c r="CAC14" s="49"/>
      <c r="CAD14" s="49"/>
      <c r="CAE14" s="49"/>
      <c r="CAF14" s="49"/>
      <c r="CAG14" s="49"/>
      <c r="CAH14" s="67">
        <f t="shared" si="948"/>
        <v>0</v>
      </c>
      <c r="CAI14" s="68">
        <f t="shared" si="949"/>
        <v>0</v>
      </c>
      <c r="CAJ14" s="48"/>
      <c r="CAK14" s="49"/>
      <c r="CAL14" s="49"/>
      <c r="CAM14" s="49"/>
      <c r="CAN14" s="49"/>
      <c r="CAO14" s="49"/>
      <c r="CAP14" s="67">
        <f t="shared" si="950"/>
        <v>0</v>
      </c>
      <c r="CAQ14" s="68">
        <f t="shared" si="951"/>
        <v>0</v>
      </c>
      <c r="CAR14" s="201"/>
      <c r="CAS14" s="47"/>
      <c r="CAT14" s="47"/>
      <c r="CAU14" s="47"/>
      <c r="CAV14" s="47"/>
      <c r="CAW14" s="47"/>
      <c r="CAX14" s="67">
        <f t="shared" si="952"/>
        <v>0</v>
      </c>
      <c r="CAY14" s="68">
        <f t="shared" si="953"/>
        <v>0</v>
      </c>
      <c r="CAZ14" s="63"/>
      <c r="CBA14" s="64"/>
      <c r="CBB14" s="64"/>
      <c r="CBC14" s="64"/>
      <c r="CBD14" s="64"/>
      <c r="CBE14" s="64"/>
      <c r="CBF14" s="67">
        <f t="shared" si="954"/>
        <v>0</v>
      </c>
      <c r="CBG14" s="68">
        <f t="shared" si="955"/>
        <v>0</v>
      </c>
      <c r="CBH14" s="48"/>
      <c r="CBI14" s="49"/>
      <c r="CBJ14" s="49"/>
      <c r="CBK14" s="49"/>
      <c r="CBL14" s="49"/>
      <c r="CBM14" s="49"/>
      <c r="CBN14" s="67">
        <f t="shared" si="956"/>
        <v>0</v>
      </c>
      <c r="CBO14" s="68">
        <f t="shared" si="957"/>
        <v>0</v>
      </c>
      <c r="CBP14" s="48"/>
      <c r="CBQ14" s="49"/>
      <c r="CBR14" s="49"/>
      <c r="CBS14" s="49"/>
      <c r="CBT14" s="49"/>
      <c r="CBU14" s="49"/>
      <c r="CBV14" s="67">
        <f t="shared" si="958"/>
        <v>0</v>
      </c>
      <c r="CBW14" s="68">
        <f t="shared" si="959"/>
        <v>0</v>
      </c>
      <c r="CBX14" s="48"/>
      <c r="CBY14" s="49"/>
      <c r="CBZ14" s="49"/>
      <c r="CCA14" s="49"/>
      <c r="CCB14" s="49"/>
      <c r="CCC14" s="49"/>
      <c r="CCD14" s="67">
        <f t="shared" si="960"/>
        <v>0</v>
      </c>
      <c r="CCE14" s="68">
        <f t="shared" si="961"/>
        <v>0</v>
      </c>
      <c r="CCF14" s="48"/>
      <c r="CCG14" s="49"/>
      <c r="CCH14" s="49"/>
      <c r="CCI14" s="49"/>
      <c r="CCJ14" s="49"/>
      <c r="CCK14" s="49"/>
      <c r="CCL14" s="67">
        <f t="shared" si="962"/>
        <v>0</v>
      </c>
      <c r="CCM14" s="68">
        <f t="shared" si="963"/>
        <v>0</v>
      </c>
      <c r="CCN14" s="48"/>
      <c r="CCO14" s="49"/>
      <c r="CCP14" s="49"/>
      <c r="CCQ14" s="49"/>
      <c r="CCR14" s="49"/>
      <c r="CCS14" s="49"/>
      <c r="CCT14" s="67">
        <f t="shared" si="964"/>
        <v>0</v>
      </c>
      <c r="CCU14" s="68">
        <f t="shared" si="965"/>
        <v>0</v>
      </c>
      <c r="CCV14" s="48"/>
      <c r="CCW14" s="49"/>
      <c r="CCX14" s="49"/>
      <c r="CCY14" s="49"/>
      <c r="CCZ14" s="49"/>
      <c r="CDA14" s="49"/>
      <c r="CDB14" s="67">
        <f t="shared" si="966"/>
        <v>0</v>
      </c>
      <c r="CDC14" s="68">
        <f t="shared" si="967"/>
        <v>0</v>
      </c>
      <c r="CDD14" s="201"/>
      <c r="CDE14" s="47"/>
      <c r="CDF14" s="47"/>
      <c r="CDG14" s="47"/>
      <c r="CDH14" s="47"/>
      <c r="CDI14" s="47"/>
      <c r="CDJ14" s="67">
        <f t="shared" si="968"/>
        <v>0</v>
      </c>
      <c r="CDK14" s="68">
        <f t="shared" si="969"/>
        <v>0</v>
      </c>
      <c r="CDL14" s="48"/>
      <c r="CDM14" s="49"/>
      <c r="CDN14" s="49"/>
      <c r="CDO14" s="49"/>
      <c r="CDP14" s="49"/>
      <c r="CDQ14" s="49"/>
      <c r="CDR14" s="67">
        <f t="shared" si="970"/>
        <v>0</v>
      </c>
      <c r="CDS14" s="68">
        <f t="shared" si="971"/>
        <v>0</v>
      </c>
      <c r="CDT14" s="48"/>
      <c r="CDU14" s="49"/>
      <c r="CDV14" s="49"/>
      <c r="CDW14" s="49"/>
      <c r="CDX14" s="49"/>
      <c r="CDY14" s="49"/>
      <c r="CDZ14" s="67">
        <f t="shared" si="972"/>
        <v>0</v>
      </c>
      <c r="CEA14" s="68">
        <f t="shared" si="973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4"/>
        <v>0</v>
      </c>
      <c r="CFE14" s="68">
        <f t="shared" si="975"/>
        <v>0</v>
      </c>
      <c r="CFF14" s="48"/>
      <c r="CFG14" s="49"/>
      <c r="CFH14" s="49"/>
      <c r="CFI14" s="49"/>
      <c r="CFJ14" s="49"/>
      <c r="CFK14" s="49"/>
      <c r="CFL14" s="64">
        <f t="shared" si="976"/>
        <v>0</v>
      </c>
      <c r="CFM14" s="68">
        <f t="shared" si="977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8"/>
        <v>0</v>
      </c>
      <c r="CFU14" s="68">
        <f t="shared" si="979"/>
        <v>0</v>
      </c>
      <c r="CFV14" s="48"/>
      <c r="CFW14" s="49"/>
      <c r="CFX14" s="49"/>
      <c r="CFY14" s="49"/>
      <c r="CFZ14" s="49"/>
      <c r="CGA14" s="49"/>
      <c r="CGB14" s="64">
        <f t="shared" si="980"/>
        <v>0</v>
      </c>
      <c r="CGC14" s="68">
        <f t="shared" si="981"/>
        <v>0</v>
      </c>
      <c r="CGD14" s="48"/>
      <c r="CGE14" s="49"/>
      <c r="CGF14" s="49"/>
      <c r="CGG14" s="49"/>
      <c r="CGH14" s="49"/>
      <c r="CGI14" s="49"/>
      <c r="CGJ14" s="64">
        <f t="shared" si="982"/>
        <v>0</v>
      </c>
      <c r="CGK14" s="68">
        <f t="shared" si="983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4"/>
        <v>0</v>
      </c>
      <c r="CGS14" s="68">
        <f t="shared" si="985"/>
        <v>0</v>
      </c>
      <c r="CGT14" s="48"/>
      <c r="CGU14" s="49"/>
      <c r="CGV14" s="49"/>
      <c r="CGW14" s="49"/>
      <c r="CGX14" s="49"/>
      <c r="CGY14" s="49"/>
      <c r="CGZ14" s="64">
        <f t="shared" si="986"/>
        <v>0</v>
      </c>
      <c r="CHA14" s="68">
        <f t="shared" si="987"/>
        <v>0</v>
      </c>
      <c r="CHB14" s="48"/>
      <c r="CHC14" s="49"/>
      <c r="CHD14" s="49"/>
      <c r="CHE14" s="49"/>
      <c r="CHF14" s="49"/>
      <c r="CHG14" s="49"/>
      <c r="CHH14" s="64">
        <f t="shared" si="988"/>
        <v>0</v>
      </c>
      <c r="CHI14" s="68">
        <f t="shared" si="989"/>
        <v>0</v>
      </c>
      <c r="CHJ14" s="48"/>
      <c r="CHK14" s="49"/>
      <c r="CHL14" s="49"/>
      <c r="CHM14" s="49"/>
      <c r="CHN14" s="49"/>
      <c r="CHO14" s="49"/>
      <c r="CHP14" s="64">
        <f t="shared" si="990"/>
        <v>0</v>
      </c>
      <c r="CHQ14" s="68">
        <f t="shared" si="991"/>
        <v>0</v>
      </c>
      <c r="CHR14" s="48"/>
      <c r="CHS14" s="49"/>
      <c r="CHT14" s="49"/>
      <c r="CHU14" s="49"/>
      <c r="CHV14" s="49"/>
      <c r="CHW14" s="49"/>
      <c r="CHX14" s="64">
        <f t="shared" si="992"/>
        <v>0</v>
      </c>
      <c r="CHY14" s="68">
        <f t="shared" si="993"/>
        <v>0</v>
      </c>
      <c r="CHZ14" s="48"/>
      <c r="CIA14" s="49"/>
      <c r="CIB14" s="49"/>
      <c r="CIC14" s="49"/>
      <c r="CID14" s="49"/>
      <c r="CIE14" s="49"/>
      <c r="CIF14" s="64">
        <f t="shared" si="994"/>
        <v>0</v>
      </c>
      <c r="CIG14" s="68">
        <f t="shared" si="995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6"/>
        <v>0</v>
      </c>
      <c r="CIO14" s="68">
        <f t="shared" si="997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8"/>
        <v>0</v>
      </c>
      <c r="CIW14" s="68">
        <f t="shared" si="999"/>
        <v>0</v>
      </c>
      <c r="CIX14" s="48"/>
      <c r="CIY14" s="49"/>
      <c r="CIZ14" s="49"/>
      <c r="CJA14" s="49"/>
      <c r="CJB14" s="49"/>
      <c r="CJC14" s="49"/>
      <c r="CJD14" s="127">
        <f t="shared" si="1000"/>
        <v>0</v>
      </c>
      <c r="CJE14" s="43">
        <f t="shared" si="1001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1002"/>
        <v>0</v>
      </c>
      <c r="CJM14" s="43">
        <f t="shared" si="1003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4"/>
        <v>0</v>
      </c>
      <c r="CJU14" s="43">
        <f t="shared" si="1005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6"/>
        <v>0</v>
      </c>
      <c r="CKC14" s="43">
        <f t="shared" si="1007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8"/>
        <v>0</v>
      </c>
      <c r="CKK14" s="43">
        <f t="shared" si="1009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10"/>
        <v>0</v>
      </c>
      <c r="CKS14" s="43">
        <f t="shared" si="1011"/>
        <v>0</v>
      </c>
      <c r="CKT14" s="48"/>
      <c r="CKU14" s="49"/>
      <c r="CKV14" s="49"/>
      <c r="CKW14" s="49"/>
      <c r="CKX14" s="49"/>
      <c r="CKY14" s="49"/>
      <c r="CKZ14" s="127">
        <f t="shared" si="1012"/>
        <v>0</v>
      </c>
      <c r="CLA14" s="43">
        <f t="shared" si="1013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4"/>
        <v>0</v>
      </c>
      <c r="CLI14" s="43">
        <f t="shared" si="1015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6"/>
        <v>0</v>
      </c>
      <c r="CLQ14" s="43">
        <f t="shared" si="1017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8"/>
        <v>462</v>
      </c>
      <c r="CLY14" s="43">
        <f t="shared" si="1019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20"/>
        <v>330</v>
      </c>
      <c r="CMG14" s="43">
        <f t="shared" si="1021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22"/>
        <v>981</v>
      </c>
      <c r="CMO14" s="43">
        <f t="shared" si="1023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4"/>
        <v>0</v>
      </c>
      <c r="CMW14" s="43">
        <f t="shared" si="1025"/>
        <v>0</v>
      </c>
      <c r="CMX14" s="63"/>
      <c r="CMY14" s="64"/>
      <c r="CMZ14" s="64"/>
      <c r="CNA14" s="64"/>
      <c r="CNB14" s="64"/>
      <c r="CNC14" s="64"/>
      <c r="CND14" s="64">
        <f t="shared" si="1026"/>
        <v>0</v>
      </c>
      <c r="CNE14" s="68">
        <f t="shared" si="1027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7"/>
        <v>0</v>
      </c>
      <c r="CNM14" s="68">
        <f t="shared" si="228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9"/>
        <v>0</v>
      </c>
      <c r="CNU14" s="68">
        <f t="shared" si="230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1"/>
        <v>337</v>
      </c>
      <c r="COC14" s="68">
        <f t="shared" si="232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3"/>
        <v>0</v>
      </c>
      <c r="COK14" s="68">
        <f t="shared" si="234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5"/>
        <v>334</v>
      </c>
      <c r="COS14" s="68">
        <f t="shared" si="236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7"/>
        <v>334</v>
      </c>
      <c r="CPA14" s="68">
        <f t="shared" si="238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9"/>
        <v>334</v>
      </c>
      <c r="CPI14" s="68">
        <f t="shared" si="240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1"/>
        <v>936</v>
      </c>
      <c r="CPQ14" s="68">
        <f t="shared" si="242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3"/>
        <v>332</v>
      </c>
      <c r="CPY14" s="68">
        <f t="shared" si="244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5"/>
        <v>0</v>
      </c>
      <c r="CQG14" s="68">
        <f t="shared" si="246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7"/>
        <v>333</v>
      </c>
      <c r="CQO14" s="43">
        <f t="shared" si="248"/>
        <v>55.5</v>
      </c>
      <c r="CQP14" s="48"/>
      <c r="CQQ14" s="49"/>
      <c r="CQR14" s="49"/>
      <c r="CQS14" s="49"/>
      <c r="CQT14" s="49"/>
      <c r="CQU14" s="49"/>
      <c r="CQV14" s="127">
        <f t="shared" si="249"/>
        <v>0</v>
      </c>
      <c r="CQW14" s="43">
        <f t="shared" si="250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1"/>
        <v>365</v>
      </c>
      <c r="CRE14" s="43">
        <f t="shared" si="252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3"/>
        <v>0</v>
      </c>
      <c r="DKG14" s="68">
        <f t="shared" si="254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5"/>
        <v>338</v>
      </c>
      <c r="DKO14" s="68">
        <f t="shared" si="256"/>
        <v>56.333333333333336</v>
      </c>
      <c r="DKP14" s="48"/>
      <c r="DKQ14" s="49"/>
      <c r="DKR14" s="49"/>
      <c r="DKS14" s="49"/>
      <c r="DKT14" s="49"/>
      <c r="DKU14" s="49"/>
      <c r="DKV14" s="64">
        <f t="shared" si="257"/>
        <v>0</v>
      </c>
      <c r="DKW14" s="68">
        <f t="shared" si="258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9"/>
        <v>0</v>
      </c>
      <c r="DLE14" s="68">
        <f t="shared" si="260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1"/>
        <v>0</v>
      </c>
      <c r="DLM14" s="68">
        <f t="shared" si="262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3"/>
        <v>0</v>
      </c>
      <c r="DLU14" s="68">
        <f t="shared" si="264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5"/>
        <v>0</v>
      </c>
      <c r="DMC14" s="68">
        <f t="shared" si="266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7"/>
        <v>0</v>
      </c>
      <c r="DMK14" s="68">
        <f t="shared" si="268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9"/>
        <v>0</v>
      </c>
      <c r="DMS14" s="68">
        <f t="shared" si="270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1"/>
        <v>0</v>
      </c>
      <c r="DNA14" s="68">
        <f t="shared" si="272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3"/>
        <v>333</v>
      </c>
      <c r="DNI14" s="68">
        <f t="shared" si="274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5"/>
        <v>0</v>
      </c>
      <c r="DNQ14" s="68">
        <f t="shared" si="276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7"/>
        <v>0</v>
      </c>
      <c r="DNY14" s="68">
        <f t="shared" si="278"/>
        <v>0</v>
      </c>
      <c r="DNZ14" s="48"/>
      <c r="DOA14" s="49"/>
      <c r="DOB14" s="49"/>
      <c r="DOC14" s="49"/>
      <c r="DOD14" s="49"/>
      <c r="DOE14" s="49"/>
      <c r="DOF14" s="64">
        <f t="shared" si="279"/>
        <v>0</v>
      </c>
      <c r="DOG14" s="68">
        <f t="shared" si="280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1"/>
        <v>0</v>
      </c>
      <c r="DOO14" s="68">
        <f t="shared" si="282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3"/>
        <v>0</v>
      </c>
      <c r="DOW14" s="68">
        <f t="shared" si="284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5"/>
        <v>0</v>
      </c>
      <c r="DPE14" s="68">
        <f t="shared" si="286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7"/>
        <v>0</v>
      </c>
      <c r="DPM14" s="68">
        <f t="shared" si="288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9"/>
        <v>328</v>
      </c>
      <c r="DPU14" s="68">
        <f t="shared" si="290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1"/>
        <v>0</v>
      </c>
      <c r="DQC14" s="68">
        <f t="shared" si="292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3"/>
        <v>0</v>
      </c>
      <c r="DQK14" s="68">
        <f t="shared" si="294"/>
        <v>0</v>
      </c>
      <c r="DQL14" s="48"/>
      <c r="DQM14" s="49"/>
      <c r="DQN14" s="49"/>
      <c r="DQO14" s="49"/>
      <c r="DQP14" s="49"/>
      <c r="DQQ14" s="49"/>
      <c r="DQR14" s="64">
        <f t="shared" si="295"/>
        <v>0</v>
      </c>
      <c r="DQS14" s="68">
        <f t="shared" si="296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7"/>
        <v>336</v>
      </c>
      <c r="DRA14" s="68">
        <f t="shared" si="298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9"/>
        <v>0</v>
      </c>
      <c r="DRI14" s="68">
        <f t="shared" si="300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1"/>
        <v>322</v>
      </c>
      <c r="DRQ14" s="68">
        <f t="shared" si="302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3"/>
        <v>335</v>
      </c>
      <c r="DRY14" s="68">
        <f t="shared" si="304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5"/>
        <v>0</v>
      </c>
      <c r="DSG14" s="68">
        <f t="shared" si="306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7"/>
        <v>0</v>
      </c>
      <c r="DSO14" s="68">
        <f t="shared" si="308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9"/>
        <v>0</v>
      </c>
      <c r="DSW14" s="68">
        <f t="shared" si="310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1"/>
        <v>332</v>
      </c>
      <c r="DTE14" s="68">
        <f t="shared" si="312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3"/>
        <v>0</v>
      </c>
      <c r="DTM14" s="68">
        <f t="shared" si="314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5"/>
        <v>184</v>
      </c>
      <c r="DTU14" s="68">
        <f t="shared" si="316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7"/>
        <v>322</v>
      </c>
      <c r="DUC14" s="68">
        <f t="shared" si="318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9"/>
        <v>0</v>
      </c>
      <c r="DUK14" s="68">
        <f t="shared" si="320"/>
        <v>0</v>
      </c>
      <c r="DUL14" s="48"/>
      <c r="DUM14" s="49"/>
      <c r="DUN14" s="49"/>
      <c r="DUO14" s="49"/>
      <c r="DUP14" s="49"/>
      <c r="DUQ14" s="49"/>
      <c r="DUR14" s="64">
        <f t="shared" si="321"/>
        <v>0</v>
      </c>
      <c r="DUS14" s="68">
        <f t="shared" si="322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3"/>
        <v>0</v>
      </c>
      <c r="DVA14" s="68">
        <f t="shared" si="324"/>
        <v>0</v>
      </c>
      <c r="DVB14" s="48"/>
      <c r="DVC14" s="49"/>
      <c r="DVD14" s="49"/>
      <c r="DVE14" s="49"/>
      <c r="DVF14" s="49"/>
      <c r="DVG14" s="49"/>
      <c r="DVH14" s="64">
        <f t="shared" si="325"/>
        <v>0</v>
      </c>
      <c r="DVI14" s="68">
        <f t="shared" si="326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7"/>
        <v>319</v>
      </c>
      <c r="DVQ14" s="68">
        <f t="shared" si="328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9"/>
        <v>314</v>
      </c>
      <c r="DVY14" s="68">
        <f t="shared" si="330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1"/>
        <v>0</v>
      </c>
      <c r="DWG14" s="68">
        <f t="shared" si="332"/>
        <v>0</v>
      </c>
      <c r="DWH14" s="48"/>
      <c r="DWI14" s="49"/>
      <c r="DWJ14" s="49"/>
      <c r="DWK14" s="49"/>
      <c r="DWL14" s="49"/>
      <c r="DWM14" s="49"/>
      <c r="DWN14" s="64">
        <f t="shared" si="333"/>
        <v>0</v>
      </c>
      <c r="DWO14" s="68">
        <f t="shared" si="334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5"/>
        <v>317</v>
      </c>
      <c r="DWW14" s="68">
        <f t="shared" si="336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7"/>
        <v>329</v>
      </c>
      <c r="DXE14" s="68">
        <f t="shared" si="338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9"/>
        <v>0</v>
      </c>
      <c r="DXM14" s="68">
        <f t="shared" si="340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1"/>
        <v>320</v>
      </c>
      <c r="DXU14" s="184">
        <f t="shared" si="342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3"/>
        <v>0</v>
      </c>
      <c r="DYD14" s="211">
        <f t="shared" si="344"/>
        <v>0</v>
      </c>
      <c r="DYE14" s="195"/>
      <c r="DYF14" s="49"/>
      <c r="DYG14" s="49"/>
      <c r="DYH14" s="49"/>
      <c r="DYI14" s="49"/>
      <c r="DYJ14" s="49"/>
      <c r="DYK14" s="64">
        <f t="shared" si="345"/>
        <v>0</v>
      </c>
      <c r="DYL14" s="211">
        <f t="shared" si="346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7"/>
        <v>663</v>
      </c>
      <c r="DYT14" s="211">
        <f t="shared" si="348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9"/>
        <v>661</v>
      </c>
      <c r="DZB14" s="211">
        <f t="shared" si="350"/>
        <v>110.16666666666667</v>
      </c>
      <c r="DZC14" s="195"/>
      <c r="DZD14" s="49"/>
      <c r="DZE14" s="49"/>
      <c r="DZF14" s="49"/>
      <c r="DZG14" s="49"/>
      <c r="DZH14" s="49"/>
      <c r="DZI14" s="64">
        <f t="shared" si="351"/>
        <v>0</v>
      </c>
      <c r="DZJ14" s="211">
        <f t="shared" si="352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3"/>
        <v>0</v>
      </c>
      <c r="DZR14" s="211">
        <f t="shared" si="354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5"/>
        <v>0</v>
      </c>
      <c r="DZZ14" s="211">
        <f t="shared" si="356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7"/>
        <v>0</v>
      </c>
      <c r="EAH14" s="211">
        <f t="shared" si="358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9"/>
        <v>0</v>
      </c>
      <c r="EAP14" s="211">
        <f t="shared" si="360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1"/>
        <v>0</v>
      </c>
      <c r="EAX14" s="211">
        <f t="shared" si="362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3"/>
        <v>0</v>
      </c>
      <c r="EBF14" s="211">
        <f t="shared" si="364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5"/>
        <v>0</v>
      </c>
      <c r="EBN14" s="211">
        <f t="shared" si="366"/>
        <v>0</v>
      </c>
      <c r="EBO14" s="195"/>
      <c r="EBP14" s="49"/>
      <c r="EBQ14" s="49"/>
      <c r="EBR14" s="49"/>
      <c r="EBS14" s="49"/>
      <c r="EBT14" s="49"/>
      <c r="EBU14" s="64">
        <f t="shared" si="367"/>
        <v>0</v>
      </c>
      <c r="EBV14" s="184">
        <f t="shared" si="368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9"/>
        <v>288</v>
      </c>
      <c r="ECD14" s="211">
        <f t="shared" si="370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1"/>
        <v>638</v>
      </c>
      <c r="ECL14" s="211">
        <f t="shared" si="372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3"/>
        <v>777</v>
      </c>
      <c r="ECT14" s="211">
        <f t="shared" si="374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5"/>
        <v>0</v>
      </c>
      <c r="EDB14" s="211">
        <f t="shared" si="376"/>
        <v>0</v>
      </c>
      <c r="EDC14" s="195"/>
      <c r="EDD14" s="49"/>
      <c r="EDE14" s="49"/>
      <c r="EDF14" s="49"/>
      <c r="EDG14" s="49"/>
      <c r="EDH14" s="49"/>
      <c r="EDI14" s="64">
        <f t="shared" si="377"/>
        <v>0</v>
      </c>
      <c r="EDJ14" s="211">
        <f t="shared" si="378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9"/>
        <v>0</v>
      </c>
      <c r="EDR14" s="211">
        <f t="shared" si="380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1"/>
        <v>0</v>
      </c>
      <c r="EDZ14" s="707">
        <f t="shared" si="382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3"/>
        <v>324</v>
      </c>
      <c r="EEH14" s="211">
        <f t="shared" si="384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5"/>
        <v>0</v>
      </c>
      <c r="EEP14" s="211">
        <f t="shared" si="386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7"/>
        <v>650</v>
      </c>
      <c r="EEX14" s="211">
        <f t="shared" si="388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9"/>
        <v>0</v>
      </c>
      <c r="EFF14" s="211">
        <f t="shared" si="390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1"/>
        <v>324</v>
      </c>
      <c r="EFN14" s="211">
        <f t="shared" si="392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3"/>
        <v>329</v>
      </c>
      <c r="EFV14" s="211">
        <f t="shared" si="394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5"/>
        <v>720</v>
      </c>
      <c r="EGD14" s="211">
        <f t="shared" si="396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7"/>
        <v>338</v>
      </c>
      <c r="EGL14" s="211">
        <f t="shared" si="398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9"/>
        <v>645</v>
      </c>
      <c r="EGT14" s="211">
        <f t="shared" si="400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1"/>
        <v>313</v>
      </c>
      <c r="EHB14" s="211">
        <f t="shared" si="402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3"/>
        <v>0</v>
      </c>
      <c r="EHJ14" s="211">
        <f t="shared" si="404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5"/>
        <v>616</v>
      </c>
      <c r="EHR14" s="211">
        <f t="shared" si="406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7"/>
        <v>0</v>
      </c>
      <c r="EHZ14" s="211">
        <f t="shared" si="408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9"/>
        <v>632</v>
      </c>
      <c r="EIH14" s="211">
        <f t="shared" si="410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1"/>
        <v>0</v>
      </c>
      <c r="EIP14" s="211">
        <f t="shared" si="412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3"/>
        <v>663</v>
      </c>
      <c r="EIX14" s="211">
        <f t="shared" si="414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5"/>
        <v>981</v>
      </c>
      <c r="EJF14" s="211">
        <f t="shared" si="416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7"/>
        <v>0</v>
      </c>
      <c r="EJN14" s="211">
        <f t="shared" si="418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9"/>
        <v>322</v>
      </c>
      <c r="EJV14" s="211">
        <f t="shared" si="420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1"/>
        <v>409</v>
      </c>
      <c r="EKD14" s="211">
        <f t="shared" si="422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3"/>
        <v>0</v>
      </c>
      <c r="EKL14" s="211">
        <f t="shared" si="424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5"/>
        <v>517</v>
      </c>
      <c r="EKT14" s="211">
        <f t="shared" si="426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7"/>
        <v>318</v>
      </c>
      <c r="ELB14" s="211">
        <f t="shared" si="428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9"/>
        <v>326</v>
      </c>
      <c r="ELJ14" s="211">
        <f t="shared" si="430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1"/>
        <v>0</v>
      </c>
      <c r="ELR14" s="211">
        <f t="shared" si="432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3"/>
        <v>328</v>
      </c>
      <c r="ELZ14" s="873">
        <f t="shared" si="434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5"/>
        <v>656</v>
      </c>
      <c r="EMH14" s="873">
        <f t="shared" si="436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7"/>
        <v>0</v>
      </c>
      <c r="EMP14" s="873">
        <f t="shared" si="438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9"/>
        <v>651</v>
      </c>
      <c r="EMX14" s="873">
        <f t="shared" si="440"/>
        <v>108.5</v>
      </c>
      <c r="EMY14" s="195"/>
      <c r="EMZ14" s="49">
        <v>646</v>
      </c>
      <c r="ENA14" s="49"/>
      <c r="ENB14" s="49"/>
      <c r="ENC14" s="49"/>
      <c r="END14" s="49"/>
      <c r="ENE14" s="872">
        <f t="shared" si="441"/>
        <v>646</v>
      </c>
      <c r="ENF14" s="873">
        <f t="shared" si="442"/>
        <v>107.66666666666667</v>
      </c>
    </row>
    <row r="15" spans="1:3750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241</v>
      </c>
      <c r="K15" s="24"/>
      <c r="L15" s="24">
        <f t="shared" si="0"/>
        <v>417</v>
      </c>
      <c r="M15" s="15">
        <f t="shared" ref="M15:M16" si="1031">K15+L15</f>
        <v>417</v>
      </c>
      <c r="N15" s="15">
        <v>0</v>
      </c>
      <c r="O15" s="276">
        <f t="shared" si="2"/>
        <v>0</v>
      </c>
      <c r="P15" s="277">
        <f t="shared" si="443"/>
        <v>53.333333333333336</v>
      </c>
      <c r="Q15" s="276">
        <f t="shared" si="3"/>
        <v>46.912499999999994</v>
      </c>
      <c r="R15" s="277">
        <f t="shared" ref="R15:R16" si="1032">S15/$S$3</f>
        <v>12.307692307692308</v>
      </c>
      <c r="S15" s="222">
        <v>320</v>
      </c>
      <c r="T15" s="276">
        <f t="shared" si="4"/>
        <v>33.881250000000001</v>
      </c>
      <c r="U15" s="278"/>
      <c r="V15" s="302">
        <f t="shared" si="5"/>
        <v>33.881250000000001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3">SUM(AF15:AK15)</f>
        <v>0</v>
      </c>
      <c r="AM15" s="53">
        <f t="shared" ref="AM15" si="1034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5">SUM(AN15:AS15)</f>
        <v>453</v>
      </c>
      <c r="AU15" s="53">
        <f t="shared" ref="AU15" si="1036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7">SUM(AV15:BA15)</f>
        <v>85</v>
      </c>
      <c r="BC15" s="53">
        <f t="shared" ref="BC15" si="1038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9">SUM(BD15:BI15)</f>
        <v>201</v>
      </c>
      <c r="BK15" s="53">
        <f t="shared" ref="BK15" si="1040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41">SUM(BL15:BQ15)</f>
        <v>400</v>
      </c>
      <c r="BS15" s="53">
        <f t="shared" ref="BS15" si="1042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3">SUM(BT15:BY15)</f>
        <v>400</v>
      </c>
      <c r="CA15" s="53">
        <f t="shared" ref="CA15" si="1044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5">SUM(CB15:CG15)</f>
        <v>0</v>
      </c>
      <c r="CI15" s="53">
        <f t="shared" ref="CI15" si="1046">CH15/$BK$5</f>
        <v>0</v>
      </c>
      <c r="CJ15" s="50"/>
      <c r="CK15" s="51"/>
      <c r="CL15" s="51"/>
      <c r="CM15" s="51"/>
      <c r="CN15" s="51"/>
      <c r="CO15" s="51"/>
      <c r="CP15" s="52">
        <f t="shared" ref="CP15" si="1047">SUM(CJ15:CO15)</f>
        <v>0</v>
      </c>
      <c r="CQ15" s="53">
        <f t="shared" ref="CQ15" si="1048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9">SUM(CR15:CW15)</f>
        <v>200</v>
      </c>
      <c r="CY15" s="53">
        <f t="shared" ref="CY15" si="1050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51">SUM(CZ15:DE15)</f>
        <v>620</v>
      </c>
      <c r="DG15" s="53">
        <f t="shared" ref="DG15" si="1052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3">SUM(DH15:DM15)</f>
        <v>0</v>
      </c>
      <c r="DO15" s="53">
        <f t="shared" ref="DO15" si="1054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5">SUM(DP15:DU15)</f>
        <v>400</v>
      </c>
      <c r="DW15" s="43">
        <f t="shared" ref="DW15" si="1056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7">SUM(DX15:EC15)</f>
        <v>0</v>
      </c>
      <c r="EE15" s="53">
        <f t="shared" ref="EE15" si="1058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9">SUM(EF15:EK15)</f>
        <v>400</v>
      </c>
      <c r="EM15" s="53">
        <f t="shared" ref="EM15" si="1060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61">SUM(EN15:ES15)</f>
        <v>300</v>
      </c>
      <c r="EU15" s="53">
        <f t="shared" ref="EU15" si="1062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3">SUM(EV15:FA15)</f>
        <v>202</v>
      </c>
      <c r="FC15" s="53">
        <f t="shared" ref="FC15" si="1064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5">SUM(FD15:FI15)</f>
        <v>125</v>
      </c>
      <c r="FK15" s="53">
        <f t="shared" ref="FK15" si="1066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7">SUM(FL15:FQ15)</f>
        <v>0</v>
      </c>
      <c r="FS15" s="53">
        <f t="shared" ref="FS15" si="1068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9">SUM(FT15:FY15)</f>
        <v>400</v>
      </c>
      <c r="GA15" s="53">
        <f t="shared" ref="GA15" si="1070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71">SUM(GB15:GG15)</f>
        <v>0</v>
      </c>
      <c r="GI15" s="53">
        <f t="shared" ref="GI15" si="1072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3">SUM(GJ15:GO15)</f>
        <v>200</v>
      </c>
      <c r="GQ15" s="53">
        <f t="shared" ref="GQ15" si="1074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5">SUM(GR15:GW15)</f>
        <v>200</v>
      </c>
      <c r="GY15" s="53">
        <f t="shared" ref="GY15" si="1076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7">SUM(GZ15:HE15)</f>
        <v>0</v>
      </c>
      <c r="HG15" s="53">
        <f t="shared" ref="HG15" si="1078">HF15/$FC$5</f>
        <v>0</v>
      </c>
      <c r="HH15" s="50"/>
      <c r="HI15" s="51"/>
      <c r="HJ15" s="51"/>
      <c r="HK15" s="51"/>
      <c r="HL15" s="51"/>
      <c r="HM15" s="51"/>
      <c r="HN15" s="52">
        <f t="shared" ref="HN15" si="1079">SUM(HH15:HM15)</f>
        <v>0</v>
      </c>
      <c r="HO15" s="53">
        <f t="shared" ref="HO15" si="1080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81">SUM(HP15:HU15)</f>
        <v>399</v>
      </c>
      <c r="HW15" s="53">
        <f t="shared" ref="HW15" si="1082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3">SUM(HX15:IC15)</f>
        <v>199</v>
      </c>
      <c r="IE15" s="53">
        <f t="shared" ref="IE15" si="1084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5">SUM(IF15:IK15)</f>
        <v>401</v>
      </c>
      <c r="IM15" s="53">
        <f t="shared" ref="IM15" si="1086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7">SUM(IN15:IS15)</f>
        <v>0</v>
      </c>
      <c r="IU15" s="53">
        <f t="shared" ref="IU15" si="1088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9">SUM(IV15:JA15)</f>
        <v>305</v>
      </c>
      <c r="JC15" s="53">
        <f t="shared" ref="JC15" si="1090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91">SUM(JD15:JI15)</f>
        <v>280</v>
      </c>
      <c r="JK15" s="53">
        <f t="shared" ref="JK15" si="1092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3">SUM(JL15:JQ15)</f>
        <v>0</v>
      </c>
      <c r="JS15" s="53">
        <f t="shared" ref="JS15" si="1094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5">SUM(JT15:JY15)</f>
        <v>300</v>
      </c>
      <c r="KA15" s="53">
        <f t="shared" ref="KA15" si="1096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7">SUM(KB15:KG15)</f>
        <v>200</v>
      </c>
      <c r="KI15" s="53">
        <f t="shared" ref="KI15" si="1098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9">SUM(KJ15:KO15)</f>
        <v>0</v>
      </c>
      <c r="KQ15" s="53">
        <f t="shared" ref="KQ15" si="1100">KP15/$JS$5</f>
        <v>0</v>
      </c>
      <c r="KR15" s="50"/>
      <c r="KS15" s="51"/>
      <c r="KT15" s="51"/>
      <c r="KU15" s="51"/>
      <c r="KV15" s="51"/>
      <c r="KW15" s="51"/>
      <c r="KX15" s="52">
        <f t="shared" ref="KX15" si="1101">SUM(KR15:KW15)</f>
        <v>0</v>
      </c>
      <c r="KY15" s="102">
        <f t="shared" ref="KY15" si="1102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3">SUM(KZ15:LE15)</f>
        <v>300</v>
      </c>
      <c r="LG15" s="43">
        <f t="shared" ref="LG15" si="1104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5">SUM(LH15:LM15)</f>
        <v>200</v>
      </c>
      <c r="LO15" s="70">
        <f t="shared" ref="LO15" si="1106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7">SUM(LP15:LU15)</f>
        <v>0</v>
      </c>
      <c r="LW15" s="70">
        <f t="shared" ref="LW15" si="1108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9">SUM(LX15:MC15)</f>
        <v>198</v>
      </c>
      <c r="ME15" s="70">
        <f t="shared" ref="ME15" si="1110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11">SUM(MF15:MK15)</f>
        <v>104</v>
      </c>
      <c r="MM15" s="53">
        <f t="shared" ref="MM15" si="1112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3">SUM(MN15:MS15)</f>
        <v>0</v>
      </c>
      <c r="MU15" s="53">
        <f t="shared" ref="MU15" si="1114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5">SUM(MV15:NA15)</f>
        <v>206</v>
      </c>
      <c r="NC15" s="53">
        <f t="shared" ref="NC15" si="1116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7">SUM(ND15:NI15)</f>
        <v>200</v>
      </c>
      <c r="NK15" s="53">
        <f t="shared" ref="NK15" si="1118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9">SUM(NL15:NQ15)</f>
        <v>0</v>
      </c>
      <c r="NS15" s="53">
        <f t="shared" ref="NS15" si="1120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21">SUM(NT15:NY15)</f>
        <v>200</v>
      </c>
      <c r="OA15" s="53">
        <f t="shared" ref="OA15" si="1122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3">SUM(OB15:OG15)</f>
        <v>200</v>
      </c>
      <c r="OI15" s="53">
        <f t="shared" ref="OI15" si="1124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5">SUM(OJ15:OO15)</f>
        <v>0</v>
      </c>
      <c r="OQ15" s="53">
        <f t="shared" ref="OQ15" si="1126">OP15/$OQ$5</f>
        <v>0</v>
      </c>
      <c r="OR15" s="50"/>
      <c r="OS15" s="51"/>
      <c r="OT15" s="51"/>
      <c r="OU15" s="51"/>
      <c r="OV15" s="51"/>
      <c r="OW15" s="51"/>
      <c r="OX15" s="69">
        <f t="shared" ref="OX15" si="1127">SUM(OR15:OW15)</f>
        <v>0</v>
      </c>
      <c r="OY15" s="70">
        <f t="shared" ref="OY15" si="1128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9">SUM(OZ15:PE15)</f>
        <v>200</v>
      </c>
      <c r="PG15" s="70">
        <f t="shared" ref="PG15" si="1130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31">SUM(PH15:PM15)</f>
        <v>199</v>
      </c>
      <c r="PO15" s="105">
        <f t="shared" ref="PO15" si="1132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3">SUM(PP15:PU15)</f>
        <v>200</v>
      </c>
      <c r="PW15" s="111">
        <f t="shared" ref="PW15" si="1134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5">SUM(PX15:QC15)</f>
        <v>97</v>
      </c>
      <c r="QE15" s="111">
        <f t="shared" ref="QE15" si="1136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7">SUM(QF15:QK15)</f>
        <v>200</v>
      </c>
      <c r="QM15" s="111">
        <f t="shared" ref="QM15" si="1138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9">SUM(QN15:QS15)</f>
        <v>199</v>
      </c>
      <c r="QU15" s="111">
        <f t="shared" ref="QU15" si="1140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41">SUM(QV15:RA15)</f>
        <v>0</v>
      </c>
      <c r="RC15" s="111">
        <f t="shared" ref="RC15" si="1142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3">SUM(RD15:RI15)</f>
        <v>0</v>
      </c>
      <c r="RK15" s="111">
        <f t="shared" ref="RK15" si="1144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5">SUM(RL15:RQ15)</f>
        <v>101</v>
      </c>
      <c r="RS15" s="111">
        <f t="shared" ref="RS15" si="1146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7">SUM(RT15:RY15)</f>
        <v>101</v>
      </c>
      <c r="SA15" s="111">
        <f t="shared" ref="SA15" si="1148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9">SUM(SB15:SG15)</f>
        <v>100</v>
      </c>
      <c r="SI15" s="111">
        <f t="shared" ref="SI15" si="1150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51">SUM(SJ15:SO15)</f>
        <v>198</v>
      </c>
      <c r="SQ15" s="111">
        <f t="shared" ref="SQ15" si="1152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3">SUM(SR15:SW15)</f>
        <v>200</v>
      </c>
      <c r="SY15" s="111">
        <f t="shared" ref="SY15" si="1154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5">SUM(SZ15:TE15)</f>
        <v>100</v>
      </c>
      <c r="TG15" s="111">
        <f t="shared" ref="TG15" si="1156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7">SUM(TH15:TM15)</f>
        <v>0</v>
      </c>
      <c r="TO15" s="111">
        <f t="shared" ref="TO15" si="1158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9">SUM(TQ15:TV15)</f>
        <v>200</v>
      </c>
      <c r="TX15" s="111">
        <f t="shared" ref="TX15" si="1160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61">SUM(TY15:UD15)</f>
        <v>100</v>
      </c>
      <c r="UF15" s="111">
        <f t="shared" ref="UF15" si="1162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3">SUM(UG15:UL15)</f>
        <v>0</v>
      </c>
      <c r="UN15" s="111">
        <f t="shared" ref="UN15" si="1164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5">SUM(UO15:UT15)</f>
        <v>200</v>
      </c>
      <c r="UV15" s="111">
        <f t="shared" ref="UV15" si="1166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7">SUM(UW15:VB15)</f>
        <v>0</v>
      </c>
      <c r="VD15" s="111">
        <f t="shared" ref="VD15" si="1168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9">SUM(VE15:VJ15)</f>
        <v>213</v>
      </c>
      <c r="VL15" s="70">
        <f t="shared" ref="VL15" si="1170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71">SUM(VN15:VS15)</f>
        <v>213</v>
      </c>
      <c r="VU15" s="70">
        <f t="shared" ref="VU15" si="1172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3">SUM(VW15:WB15)</f>
        <v>201</v>
      </c>
      <c r="WD15" s="70">
        <f t="shared" ref="WD15" si="1174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5">SUM(WF15:WK15)</f>
        <v>0</v>
      </c>
      <c r="WM15" s="70">
        <f t="shared" ref="WM15" si="1176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7">SUM(WO15:WT15)</f>
        <v>214</v>
      </c>
      <c r="WV15" s="70">
        <f t="shared" ref="WV15" si="1178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9">SUM(WX15:XC15)</f>
        <v>200</v>
      </c>
      <c r="XE15" s="111">
        <f t="shared" ref="XE15" si="1180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81">SUM(XF15:XK15)</f>
        <v>85</v>
      </c>
      <c r="XM15" s="70">
        <f t="shared" ref="XM15" si="1182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3">SUM(XN15:XS15)</f>
        <v>0</v>
      </c>
      <c r="XU15" s="70">
        <f t="shared" ref="XU15" si="1184">XT15/$VL$5</f>
        <v>0</v>
      </c>
      <c r="XV15" s="50"/>
      <c r="XW15" s="51"/>
      <c r="XX15" s="51"/>
      <c r="XY15" s="51"/>
      <c r="XZ15" s="24"/>
      <c r="YA15" s="51"/>
      <c r="YB15" s="69">
        <f t="shared" ref="YB15" si="1185">SUM(XV15:YA15)</f>
        <v>0</v>
      </c>
      <c r="YC15" s="70">
        <f t="shared" ref="YC15" si="1186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7">SUM(YE15:YJ15)</f>
        <v>200</v>
      </c>
      <c r="YL15" s="70">
        <f t="shared" ref="YL15" si="1188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9">SUM(YN15:YS15)</f>
        <v>200</v>
      </c>
      <c r="YU15" s="70">
        <f t="shared" ref="YU15" si="1190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91">SUM(YV15:ZA15)</f>
        <v>100</v>
      </c>
      <c r="ZC15" s="70">
        <f t="shared" ref="ZC15" si="1192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3">SUM(ZD15:ZI15)</f>
        <v>0</v>
      </c>
      <c r="ZK15" s="70">
        <f t="shared" ref="ZK15" si="1194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5">SUM(ZL15:ZQ15)</f>
        <v>202</v>
      </c>
      <c r="ZS15" s="70">
        <f t="shared" ref="ZS15" si="1196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7">SUM(ZT15:ZY15)</f>
        <v>0</v>
      </c>
      <c r="AAA15" s="70">
        <f t="shared" ref="AAA15" si="1198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9">SUM(AAB15:AAG15)</f>
        <v>100</v>
      </c>
      <c r="AAI15" s="70">
        <f t="shared" ref="AAI15" si="1200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201">SUM(AAJ15:AAO15)</f>
        <v>0</v>
      </c>
      <c r="AAQ15" s="70">
        <f t="shared" ref="AAQ15" si="1202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3">SUM(AAR15:AAW15)</f>
        <v>421</v>
      </c>
      <c r="AAY15" s="70">
        <f t="shared" ref="AAY15" si="1204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5">SUM(AAZ15:ABE15)</f>
        <v>0</v>
      </c>
      <c r="ABG15" s="70">
        <f t="shared" ref="ABG15" si="1206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7">SUM(ABH15:ABM15)</f>
        <v>108</v>
      </c>
      <c r="ABO15" s="70">
        <f t="shared" ref="ABO15" si="1208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9">SUM(ABP15:ABU15)</f>
        <v>119</v>
      </c>
      <c r="ABW15" s="70">
        <f t="shared" ref="ABW15" si="1210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11">SUM(ABX15:ACC15)</f>
        <v>220</v>
      </c>
      <c r="ACE15" s="70">
        <f t="shared" ref="ACE15" si="1212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3">SUM(ACF15:ACK15)</f>
        <v>220</v>
      </c>
      <c r="ACM15" s="70">
        <f t="shared" ref="ACM15" si="1214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5">SUM(ACN15:ACS15)</f>
        <v>0</v>
      </c>
      <c r="ACU15" s="70">
        <f t="shared" ref="ACU15" si="1216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7">SUM(ACV15:ADA15)</f>
        <v>220</v>
      </c>
      <c r="ADC15" s="70">
        <f t="shared" ref="ADC15" si="1218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9">SUM(ADD15:ADI15)</f>
        <v>0</v>
      </c>
      <c r="ADK15" s="70">
        <f t="shared" ref="ADK15" si="1220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21">SUM(ADL15:ADQ15)</f>
        <v>220</v>
      </c>
      <c r="ADS15" s="70">
        <f t="shared" ref="ADS15" si="1222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3">SUM(ADT15:ADY15)</f>
        <v>110</v>
      </c>
      <c r="AEA15" s="70">
        <f t="shared" ref="AEA15" si="1224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5">SUM(AEB15:AEG15)</f>
        <v>0</v>
      </c>
      <c r="AEI15" s="70">
        <f t="shared" ref="AEI15" si="1226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7">SUM(AEJ15:AEO15)</f>
        <v>143</v>
      </c>
      <c r="AEQ15" s="70">
        <f t="shared" ref="AEQ15" si="1228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9">SUM(AER15:AEW15)</f>
        <v>110</v>
      </c>
      <c r="AEY15" s="68">
        <f t="shared" ref="AEY15" si="1230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31">SUM(AEZ15:AFE15)</f>
        <v>110</v>
      </c>
      <c r="AFG15" s="70">
        <f t="shared" ref="AFG15" si="1232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3">SUM(AFH15:AFM15)</f>
        <v>110</v>
      </c>
      <c r="AFO15" s="70">
        <f t="shared" ref="AFO15" si="1234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5">SUM(AFP15:AFU15)</f>
        <v>110</v>
      </c>
      <c r="AFW15" s="70">
        <f t="shared" ref="AFW15" si="1236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7">SUM(AFX15:AGC15)</f>
        <v>0</v>
      </c>
      <c r="AGE15" s="70">
        <f t="shared" ref="AGE15" si="1238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9">SUM(AGF15:AGK15)</f>
        <v>110</v>
      </c>
      <c r="AGM15" s="70">
        <f t="shared" ref="AGM15" si="1240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41">SUM(AGN15:AGS15)</f>
        <v>0</v>
      </c>
      <c r="AGU15" s="53">
        <f t="shared" ref="AGU15" si="1242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3">SUM(AGV15:AHA15)</f>
        <v>0</v>
      </c>
      <c r="AHC15" s="53">
        <f t="shared" ref="AHC15" si="1244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5">SUM(AHD15:AHI15)</f>
        <v>0</v>
      </c>
      <c r="AHK15" s="53">
        <f t="shared" ref="AHK15" si="1246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7">SUM(AHL15:AHQ15)</f>
        <v>220</v>
      </c>
      <c r="AHS15" s="70">
        <f t="shared" ref="AHS15" si="1248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9">SUM(AHT15:AHY15)</f>
        <v>113</v>
      </c>
      <c r="AIA15" s="184">
        <f t="shared" ref="AIA15" si="1250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51">SUM(AIB15:AIG15)</f>
        <v>108</v>
      </c>
      <c r="AII15" s="199">
        <f t="shared" ref="AII15" si="1252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3">SUM(AIJ15:AIO15)</f>
        <v>0</v>
      </c>
      <c r="AIQ15" s="199">
        <f t="shared" ref="AIQ15" si="1254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5">SUM(AIR15:AIW15)</f>
        <v>0</v>
      </c>
      <c r="AIY15" s="70">
        <f t="shared" ref="AIY15" si="1256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7">SUM(AIZ15:AJE15)</f>
        <v>110</v>
      </c>
      <c r="AJG15" s="70">
        <f t="shared" ref="AJG15" si="1258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9">SUM(AJH15:AJM15)</f>
        <v>110</v>
      </c>
      <c r="AJO15" s="43">
        <f t="shared" ref="AJO15" si="1260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61">SUM(AJP15:AJU15)</f>
        <v>99</v>
      </c>
      <c r="AJW15" s="53">
        <f t="shared" ref="AJW15" si="1262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3">SUM(AJX15:AKC15)</f>
        <v>107</v>
      </c>
      <c r="AKE15" s="53">
        <f t="shared" ref="AKE15" si="1264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5">SUM(AKF15:AKK15)</f>
        <v>0</v>
      </c>
      <c r="AKM15" s="43">
        <f t="shared" ref="AKM15" si="1266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7">SUM(AKN15:AKS15)</f>
        <v>114</v>
      </c>
      <c r="AKU15" s="53">
        <f t="shared" ref="AKU15" si="1268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9">SUM(AKV15:ALA15)</f>
        <v>110</v>
      </c>
      <c r="ALC15" s="53">
        <f t="shared" ref="ALC15" si="1270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71">SUM(ALD15:ALI15)</f>
        <v>110</v>
      </c>
      <c r="ALK15" s="53">
        <f t="shared" ref="ALK15" si="1272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3">SUM(ALL15:ALQ15)</f>
        <v>0</v>
      </c>
      <c r="ALS15" s="70">
        <f t="shared" ref="ALS15" si="1274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5">SUM(ALT15:ALY15)</f>
        <v>110</v>
      </c>
      <c r="AMA15" s="70">
        <f t="shared" ref="AMA15" si="1276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7">SUM(AMB15:AMG15)</f>
        <v>110</v>
      </c>
      <c r="AMI15" s="70">
        <f t="shared" ref="AMI15" si="1278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9">SUM(AMJ15:AMO15)</f>
        <v>0</v>
      </c>
      <c r="AMQ15" s="70">
        <f t="shared" ref="AMQ15" si="1280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81">SUM(AMR15:AMW15)</f>
        <v>110</v>
      </c>
      <c r="AMY15" s="70">
        <f t="shared" ref="AMY15" si="1282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3">SUM(AMZ15:ANE15)</f>
        <v>110</v>
      </c>
      <c r="ANG15" s="70">
        <f t="shared" ref="ANG15" si="1284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5">SUM(ANH15:ANM15)</f>
        <v>107</v>
      </c>
      <c r="ANO15" s="70">
        <f t="shared" ref="ANO15" si="1286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7">SUM(ANP15:ANU15)</f>
        <v>96</v>
      </c>
      <c r="ANW15" s="70">
        <f t="shared" ref="ANW15" si="1288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9">SUM(ANX15:AOC15)</f>
        <v>107</v>
      </c>
      <c r="AOE15" s="70">
        <f t="shared" ref="AOE15" si="1290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91">SUM(AOF15:AOK15)</f>
        <v>110</v>
      </c>
      <c r="AOM15" s="70">
        <f t="shared" ref="AOM15" si="1292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3">SUM(AON15:AOS15)</f>
        <v>110</v>
      </c>
      <c r="AOU15" s="70">
        <f t="shared" ref="AOU15" si="1294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5">SUM(AOV15:APA15)</f>
        <v>0</v>
      </c>
      <c r="APC15" s="70">
        <f t="shared" ref="APC15" si="1296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7">SUM(APD15:API15)</f>
        <v>0</v>
      </c>
      <c r="APK15" s="70">
        <f t="shared" ref="APK15" si="1298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9">SUM(APL15:APQ15)</f>
        <v>110</v>
      </c>
      <c r="APS15" s="70">
        <f t="shared" ref="APS15" si="1300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301">SUM(APT15:APY15)</f>
        <v>0</v>
      </c>
      <c r="AQA15" s="70">
        <f t="shared" ref="AQA15" si="1302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3">SUM(AQB15:AQG15)</f>
        <v>110</v>
      </c>
      <c r="AQI15" s="70">
        <f t="shared" ref="AQI15" si="1304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5">SUM(AQJ15:AQO15)</f>
        <v>100</v>
      </c>
      <c r="AQQ15" s="53">
        <f t="shared" ref="AQQ15" si="1306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7">SUM(AQR15:AQW15)</f>
        <v>0</v>
      </c>
      <c r="AQY15" s="53">
        <f t="shared" ref="AQY15" si="1308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9">SUM(AQZ15:ARE15)</f>
        <v>0</v>
      </c>
      <c r="ARG15" s="53">
        <f t="shared" ref="ARG15" si="1310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11">SUM(ARH15:ARM15)</f>
        <v>162</v>
      </c>
      <c r="ARO15" s="53">
        <f t="shared" ref="ARO15" si="1312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3">SUM(ARP15:ARU15)</f>
        <v>0</v>
      </c>
      <c r="ARW15" s="53">
        <f t="shared" ref="ARW15" si="1314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5">SUM(ARX15:ASC15)</f>
        <v>0</v>
      </c>
      <c r="ASE15" s="53">
        <f t="shared" ref="ASE15" si="1316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7">SUM(ASF15:ASK15)</f>
        <v>0</v>
      </c>
      <c r="ASM15" s="53">
        <f t="shared" ref="ASM15" si="1318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9">SUM(ASN15:ASS15)</f>
        <v>110</v>
      </c>
      <c r="ASU15" s="53">
        <f t="shared" ref="ASU15" si="1320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21">SUM(ASV15:ATA15)</f>
        <v>0</v>
      </c>
      <c r="ATC15" s="53">
        <f t="shared" ref="ATC15" si="1322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3">SUM(ATD15:ATI15)</f>
        <v>0</v>
      </c>
      <c r="ATK15" s="53">
        <f t="shared" ref="ATK15" si="1324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5">SUM(ATL15:ATQ15)</f>
        <v>0</v>
      </c>
      <c r="ATS15" s="53">
        <f t="shared" ref="ATS15" si="1326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7">SUM(ATT15:ATY15)</f>
        <v>112</v>
      </c>
      <c r="AUA15" s="53">
        <f t="shared" ref="AUA15" si="1328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9">SUM(AUB15:AUG15)</f>
        <v>110</v>
      </c>
      <c r="AUI15" s="53">
        <f t="shared" ref="AUI15" si="1330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31">SUM(AUJ15:AUO15)</f>
        <v>110</v>
      </c>
      <c r="AUQ15" s="53">
        <f t="shared" ref="AUQ15" si="1332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3">SUM(AUR15:AUW15)</f>
        <v>0</v>
      </c>
      <c r="AUY15" s="53">
        <f t="shared" ref="AUY15" si="1334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5">SUM(AUZ15:AVE15)</f>
        <v>0</v>
      </c>
      <c r="AVG15" s="53">
        <f t="shared" ref="AVG15" si="1336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7">SUM(AVH15:AVM15)</f>
        <v>0</v>
      </c>
      <c r="AVO15" s="53">
        <f t="shared" ref="AVO15" si="1338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9">SUM(AVP15:AVU15)</f>
        <v>0</v>
      </c>
      <c r="AVW15" s="53">
        <f t="shared" ref="AVW15" si="1340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41">SUM(AVX15:AWC15)</f>
        <v>208</v>
      </c>
      <c r="AWE15" s="53">
        <f t="shared" ref="AWE15" si="1342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3">SUM(AWF15:AWK15)</f>
        <v>0</v>
      </c>
      <c r="AWM15" s="53">
        <f t="shared" ref="AWM15" si="1344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5">SUM(AWN15:AWS15)</f>
        <v>112</v>
      </c>
      <c r="AWU15" s="53">
        <f t="shared" ref="AWU15" si="1346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7">SUM(AWV15:AXA15)</f>
        <v>0</v>
      </c>
      <c r="AXC15" s="53">
        <f t="shared" ref="AXC15" si="1348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9">SUM(AXD15:AXI15)</f>
        <v>0</v>
      </c>
      <c r="AXK15" s="53">
        <f t="shared" ref="AXK15" si="1350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51">SUM(AXL15:AXP15)</f>
        <v>105</v>
      </c>
      <c r="AXS15" s="53">
        <f t="shared" ref="AXS15" si="1352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3">SUM(AXT15:AXX15)</f>
        <v>110</v>
      </c>
      <c r="AYA15" s="43">
        <f t="shared" ref="AYA15" si="1354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5">SUM(AYB15:AYG15)</f>
        <v>0</v>
      </c>
      <c r="AYI15" s="53">
        <f t="shared" ref="AYI15" si="1356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7">SUM(AYJ15:AYO15)</f>
        <v>110</v>
      </c>
      <c r="AYQ15" s="53">
        <f t="shared" ref="AYQ15" si="1358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9">SUM(AYR15:AYW15)</f>
        <v>0</v>
      </c>
      <c r="AYY15" s="53">
        <f t="shared" ref="AYY15" si="1360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61">SUM(AYZ15:AZE15)</f>
        <v>0</v>
      </c>
      <c r="AZG15" s="53">
        <f t="shared" ref="AZG15" si="1362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3">SUM(AZH15:AZM15)</f>
        <v>0</v>
      </c>
      <c r="AZO15" s="53">
        <f t="shared" ref="AZO15" si="1364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5">SUM(AZP15:AZU15)</f>
        <v>100</v>
      </c>
      <c r="AZW15" s="53">
        <f t="shared" ref="AZW15" si="1366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7">SUM(AZX15:BAC15)</f>
        <v>0</v>
      </c>
      <c r="BAE15" s="53">
        <f t="shared" ref="BAE15" si="1368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9">SUM(BAF15:BAK15)</f>
        <v>0</v>
      </c>
      <c r="BAM15" s="53">
        <f t="shared" ref="BAM15" si="1370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71">SUM(BAN15:BAS15)</f>
        <v>110</v>
      </c>
      <c r="BAU15" s="53">
        <f t="shared" ref="BAU15" si="1372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3">SUM(BAV15:BBA15)</f>
        <v>110</v>
      </c>
      <c r="BBC15" s="53">
        <f t="shared" ref="BBC15" si="1374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5">SUM(BBD15:BBI15)</f>
        <v>0</v>
      </c>
      <c r="BBK15" s="53">
        <f t="shared" ref="BBK15" si="1376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7">SUM(BBL15:BBQ15)</f>
        <v>110</v>
      </c>
      <c r="BBS15" s="53">
        <f t="shared" ref="BBS15" si="1378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9">SUM(BBT15:BBY15)</f>
        <v>0</v>
      </c>
      <c r="BCA15" s="53">
        <f t="shared" ref="BCA15" si="1380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81">SUM(BCB15:BCG15)</f>
        <v>110</v>
      </c>
      <c r="BCI15" s="53">
        <f t="shared" ref="BCI15" si="1382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3">SUM(BCJ15:BCO15)</f>
        <v>0</v>
      </c>
      <c r="BCQ15" s="53">
        <f t="shared" ref="BCQ15" si="1384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5">SUM(BCR15:BCW15)</f>
        <v>89</v>
      </c>
      <c r="BCY15" s="53">
        <f t="shared" ref="BCY15" si="1386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7">SUM(BCZ15:BDE15)</f>
        <v>0</v>
      </c>
      <c r="BDG15" s="53">
        <f t="shared" ref="BDG15" si="1388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9">SUM(BDH15:BDM15)</f>
        <v>106</v>
      </c>
      <c r="BDO15" s="53">
        <f t="shared" ref="BDO15" si="1390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91">SUM(BDP15:BDU15)</f>
        <v>0</v>
      </c>
      <c r="BDW15" s="53">
        <f t="shared" ref="BDW15" si="1392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3">SUM(BDX15:BEC15)</f>
        <v>0</v>
      </c>
      <c r="BEE15" s="53">
        <f t="shared" ref="BEE15" si="1394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5">SUM(BEF15:BEK15)</f>
        <v>642</v>
      </c>
      <c r="BEM15" s="43">
        <f t="shared" ref="BEM15" si="1396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7">SUM(BEN15:BES15)</f>
        <v>294</v>
      </c>
      <c r="BEU15" s="53">
        <f t="shared" ref="BEU15" si="1398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9">SUM(BEV15:BFA15)</f>
        <v>0</v>
      </c>
      <c r="BFC15" s="53">
        <f t="shared" ref="BFC15" si="1400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401">SUM(BFD15:BFI15)</f>
        <v>0</v>
      </c>
      <c r="BFK15" s="53">
        <f t="shared" ref="BFK15" si="1402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3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4">SUM(BFT15:BFY15)</f>
        <v>0</v>
      </c>
      <c r="BGA15" s="53">
        <f t="shared" ref="BGA15" si="1405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6">SUM(BGB15:BGG15)</f>
        <v>0</v>
      </c>
      <c r="BGI15" s="53">
        <f t="shared" ref="BGI15" si="1407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8">SUM(BGJ15:BGO15)</f>
        <v>44</v>
      </c>
      <c r="BGQ15" s="53">
        <f t="shared" ref="BGQ15" si="1409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10">SUM(BGR15:BGW15)</f>
        <v>0</v>
      </c>
      <c r="BGY15" s="53">
        <f t="shared" ref="BGY15" si="1411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12">SUM(BGZ15:BHE15)</f>
        <v>0</v>
      </c>
      <c r="BHG15" s="53">
        <f t="shared" ref="BHG15" si="1413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4">SUM(BHH15:BHM15)</f>
        <v>100</v>
      </c>
      <c r="BHO15" s="53">
        <f t="shared" ref="BHO15" si="1415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6">SUM(BHP15:BHU15)</f>
        <v>0</v>
      </c>
      <c r="BHW15" s="53">
        <f t="shared" ref="BHW15" si="1417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8">SUM(BHX15:BIC15)</f>
        <v>0</v>
      </c>
      <c r="BIE15" s="53">
        <f t="shared" ref="BIE15" si="1419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20">SUM(BIF15:BIK15)</f>
        <v>0</v>
      </c>
      <c r="BIM15" s="53">
        <f t="shared" ref="BIM15" si="1421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22">SUM(BIN15:BIS15)</f>
        <v>100</v>
      </c>
      <c r="BIU15" s="53">
        <f t="shared" ref="BIU15" si="1423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4">SUM(BIV15:BJA15)</f>
        <v>0</v>
      </c>
      <c r="BJC15" s="53">
        <f t="shared" ref="BJC15" si="1425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6">SUM(BJD15:BJI15)</f>
        <v>0</v>
      </c>
      <c r="BJK15" s="53">
        <f t="shared" ref="BJK15" si="1427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8">SUM(BJL15:BJQ15)</f>
        <v>0</v>
      </c>
      <c r="BJS15" s="53">
        <f t="shared" ref="BJS15" si="1429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30">SUM(BJT15:BJY15)</f>
        <v>108</v>
      </c>
      <c r="BKA15" s="53">
        <f t="shared" ref="BKA15" si="1431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32">SUM(BKB15:BKG15)</f>
        <v>0</v>
      </c>
      <c r="BKI15" s="53">
        <f t="shared" ref="BKI15" si="1433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4">SUM(BKJ15:BKO15)</f>
        <v>0</v>
      </c>
      <c r="BKQ15" s="53">
        <f t="shared" ref="BKQ15" si="1435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6">SUM(BKR15:BKW15)</f>
        <v>110</v>
      </c>
      <c r="BKY15" s="43">
        <f t="shared" ref="BKY15" si="1437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8">SUM(BKZ15:BLE15)</f>
        <v>218</v>
      </c>
      <c r="BLG15" s="53">
        <f t="shared" ref="BLG15" si="1439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40">SUM(BLH15:BLM15)</f>
        <v>109</v>
      </c>
      <c r="BLO15" s="70">
        <f t="shared" ref="BLO15" si="1441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42">SUM(BLP15:BLU15)</f>
        <v>0</v>
      </c>
      <c r="BLW15" s="70">
        <f t="shared" ref="BLW15" si="1443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4">SUM(BLX15:BMC15)</f>
        <v>0</v>
      </c>
      <c r="BME15" s="53">
        <f t="shared" ref="BME15" si="1445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6">SUM(BMF15:BMK15)</f>
        <v>110</v>
      </c>
      <c r="BMM15" s="53">
        <f t="shared" ref="BMM15" si="1447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8">SUM(BMN15:BMS15)</f>
        <v>200</v>
      </c>
      <c r="BMU15" s="53">
        <f t="shared" ref="BMU15" si="1449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50">SUM(BMV15:BNA15)</f>
        <v>110</v>
      </c>
      <c r="BNC15" s="43">
        <f t="shared" ref="BNC15" si="1451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52">SUM(BND15:BNI15)</f>
        <v>103</v>
      </c>
      <c r="BNK15" s="184">
        <f t="shared" ref="BNK15" si="1453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4">SUM(BNL15:BNQ15)</f>
        <v>0</v>
      </c>
      <c r="BNS15" s="212">
        <f t="shared" ref="BNS15" si="1455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6">SUM(BNT15:BNY15)</f>
        <v>191</v>
      </c>
      <c r="BOA15" s="199">
        <f t="shared" ref="BOA15" si="1457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8">SUM(BOB15:BOG15)</f>
        <v>0</v>
      </c>
      <c r="BOI15" s="70">
        <f t="shared" ref="BOI15" si="1459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60">SUM(BOJ15:BOO15)</f>
        <v>80</v>
      </c>
      <c r="BOQ15" s="70">
        <f t="shared" ref="BOQ15" si="1461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62">SUM(BOR15:BOW15)</f>
        <v>78</v>
      </c>
      <c r="BOY15" s="70">
        <f t="shared" ref="BOY15" si="1463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4">SUM(BOZ15:BPE15)</f>
        <v>99</v>
      </c>
      <c r="BPG15" s="70">
        <f t="shared" ref="BPG15" si="1465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6">SUM(BPH15:BPM15)</f>
        <v>0</v>
      </c>
      <c r="BPO15" s="70">
        <f t="shared" ref="BPO15" si="1467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8">SUM(BPP15:BPU15)</f>
        <v>182</v>
      </c>
      <c r="BPW15" s="70">
        <f t="shared" ref="BPW15" si="1469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70">SUM(BPX15:BQC15)</f>
        <v>0</v>
      </c>
      <c r="BQE15" s="70">
        <f t="shared" ref="BQE15" si="1471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72">SUM(BQF15:BQK15)</f>
        <v>0</v>
      </c>
      <c r="BQM15" s="68">
        <f t="shared" ref="BQM15" si="1473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4">SUM(BQN15:BQS15)</f>
        <v>0</v>
      </c>
      <c r="BQU15" s="68">
        <f t="shared" ref="BQU15" si="1475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6">SUM(BQV15:BRA15)</f>
        <v>100</v>
      </c>
      <c r="BRC15" s="70">
        <f t="shared" ref="BRC15" si="1477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8">SUM(BRD15:BRI15)</f>
        <v>0</v>
      </c>
      <c r="BRK15" s="70">
        <f t="shared" ref="BRK15" si="1479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80">SUM(BRL15:BRQ15)</f>
        <v>0</v>
      </c>
      <c r="BRS15" s="70">
        <f t="shared" ref="BRS15" si="1481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82">SUM(BRT15:BRY15)</f>
        <v>0</v>
      </c>
      <c r="BSA15" s="70">
        <f t="shared" ref="BSA15" si="1483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4">SUM(BSB15:BSG15)</f>
        <v>110</v>
      </c>
      <c r="BSI15" s="70">
        <f t="shared" ref="BSI15" si="1485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6">SUM(BSJ15:BSO15)</f>
        <v>0</v>
      </c>
      <c r="BSQ15" s="70">
        <f t="shared" ref="BSQ15" si="1487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8">SUM(BSR15:BSW15)</f>
        <v>0</v>
      </c>
      <c r="BSY15" s="70">
        <f t="shared" ref="BSY15" si="1489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90">SUM(BSZ15:BTE15)</f>
        <v>160</v>
      </c>
      <c r="BTG15" s="70">
        <f t="shared" ref="BTG15" si="1491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92">SUM(BTH15:BTM15)</f>
        <v>144</v>
      </c>
      <c r="BTO15" s="70">
        <f t="shared" ref="BTO15" si="1493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4">SUM(BTP15:BTU15)</f>
        <v>0</v>
      </c>
      <c r="BTW15" s="70">
        <f t="shared" ref="BTW15" si="1495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6">SUM(BTX15:BUC15)</f>
        <v>80</v>
      </c>
      <c r="BUE15" s="70">
        <f t="shared" ref="BUE15" si="1497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8">SUM(BUF15:BUK15)</f>
        <v>0</v>
      </c>
      <c r="BUM15" s="70">
        <f t="shared" ref="BUM15" si="1499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500">SUM(BUN15:BUS15)</f>
        <v>0</v>
      </c>
      <c r="BUU15" s="70">
        <f t="shared" ref="BUU15" si="1501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502">SUM(BUV15:BVA15)</f>
        <v>0</v>
      </c>
      <c r="BVC15" s="70">
        <f t="shared" ref="BVC15" si="1503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4">SUM(BVD15:BVI15)</f>
        <v>0</v>
      </c>
      <c r="BVK15" s="70">
        <f t="shared" ref="BVK15" si="1505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6">SUM(BVL15:BVQ15)</f>
        <v>0</v>
      </c>
      <c r="BVS15" s="70">
        <f t="shared" ref="BVS15" si="1507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8">SUM(BVT15:BVY15)</f>
        <v>0</v>
      </c>
      <c r="BWA15" s="70">
        <f t="shared" ref="BWA15" si="1509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10">SUM(BWB15:BWG15)</f>
        <v>12</v>
      </c>
      <c r="BWI15" s="70">
        <f t="shared" ref="BWI15" si="1511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12">SUM(BWJ15:BWO15)</f>
        <v>216</v>
      </c>
      <c r="BWQ15" s="70">
        <f t="shared" ref="BWQ15" si="1513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4">SUM(BWR15:BWW15)</f>
        <v>110</v>
      </c>
      <c r="BWY15" s="70">
        <f t="shared" ref="BWY15" si="1515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6">SUM(BWZ15:BXE15)</f>
        <v>110</v>
      </c>
      <c r="BXG15" s="70">
        <f t="shared" ref="BXG15" si="1517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8">SUM(BXH15:BXM15)</f>
        <v>0</v>
      </c>
      <c r="BXO15" s="70">
        <f t="shared" ref="BXO15" si="1519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20">SUM(BXP15:BXU15)</f>
        <v>0</v>
      </c>
      <c r="BXW15" s="70">
        <f t="shared" ref="BXW15" si="1521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22">SUM(BXX15:BYC15)</f>
        <v>110</v>
      </c>
      <c r="BYE15" s="70">
        <f t="shared" ref="BYE15" si="1523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4">SUM(BYF15:BYK15)</f>
        <v>110</v>
      </c>
      <c r="BYM15" s="70">
        <f t="shared" ref="BYM15" si="1525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6">SUM(BYN15:BYS15)</f>
        <v>0</v>
      </c>
      <c r="BYU15" s="70">
        <f t="shared" ref="BYU15" si="1527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8">SUM(BYV15:BZA15)</f>
        <v>0</v>
      </c>
      <c r="BZC15" s="70">
        <f t="shared" ref="BZC15" si="1529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30">SUM(BZD15:BZI15)</f>
        <v>110</v>
      </c>
      <c r="BZK15" s="70">
        <f t="shared" ref="BZK15" si="1531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32">SUM(BZL15:BZQ15)</f>
        <v>0</v>
      </c>
      <c r="BZS15" s="70">
        <f t="shared" ref="BZS15" si="1533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4">SUM(BZT15:BZY15)</f>
        <v>0</v>
      </c>
      <c r="CAA15" s="70">
        <f t="shared" ref="CAA15" si="1535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6">SUM(CAB15:CAG15)</f>
        <v>0</v>
      </c>
      <c r="CAI15" s="70">
        <f t="shared" ref="CAI15" si="1537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8">SUM(CAJ15:CAO15)</f>
        <v>0</v>
      </c>
      <c r="CAQ15" s="70">
        <f t="shared" ref="CAQ15" si="1539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40">SUM(CAR15:CAW15)</f>
        <v>0</v>
      </c>
      <c r="CAY15" s="70">
        <f t="shared" ref="CAY15" si="1541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42">SUM(CAZ15:CBE15)</f>
        <v>176</v>
      </c>
      <c r="CBG15" s="70">
        <f t="shared" ref="CBG15" si="1543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4">SUM(CBH15:CBM15)</f>
        <v>0</v>
      </c>
      <c r="CBO15" s="70">
        <f t="shared" ref="CBO15" si="1545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6">SUM(CBP15:CBU15)</f>
        <v>318</v>
      </c>
      <c r="CBW15" s="70">
        <f t="shared" ref="CBW15" si="1547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8">SUM(CBX15:CCC15)</f>
        <v>0</v>
      </c>
      <c r="CCE15" s="70">
        <f t="shared" ref="CCE15" si="1549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50">SUM(CCF15:CCK15)</f>
        <v>0</v>
      </c>
      <c r="CCM15" s="70">
        <f t="shared" ref="CCM15" si="1551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52">SUM(CCN15:CCS15)</f>
        <v>0</v>
      </c>
      <c r="CCU15" s="70">
        <f t="shared" ref="CCU15" si="1553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4">SUM(CCV15:CDA15)</f>
        <v>0</v>
      </c>
      <c r="CDC15" s="70">
        <f t="shared" ref="CDC15" si="1555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6">SUM(CDD15:CDI15)</f>
        <v>0</v>
      </c>
      <c r="CDK15" s="70">
        <f t="shared" ref="CDK15" si="1557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8">SUM(CDL15:CDQ15)</f>
        <v>0</v>
      </c>
      <c r="CDS15" s="70">
        <f t="shared" ref="CDS15" si="1559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60">SUM(CDT15:CDY15)</f>
        <v>0</v>
      </c>
      <c r="CEA15" s="70">
        <f t="shared" ref="CEA15" si="1561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62">SUM(CEX15:CFC15)</f>
        <v>0</v>
      </c>
      <c r="CFE15" s="70">
        <f t="shared" ref="CFE15" si="1563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4">SUM(CFF15:CFK15)</f>
        <v>322</v>
      </c>
      <c r="CFM15" s="68">
        <f t="shared" ref="CFM15" si="1565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6">SUM(CFN15:CFS15)</f>
        <v>656</v>
      </c>
      <c r="CFU15" s="70">
        <f t="shared" ref="CFU15" si="1567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8">SUM(CFV15:CGA15)</f>
        <v>0</v>
      </c>
      <c r="CGC15" s="70">
        <f t="shared" ref="CGC15" si="1569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70">SUM(CGD15:CGI15)</f>
        <v>0</v>
      </c>
      <c r="CGK15" s="70">
        <f t="shared" ref="CGK15" si="1571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72">SUM(CGL15:CGQ15)</f>
        <v>0</v>
      </c>
      <c r="CGS15" s="70">
        <f t="shared" ref="CGS15" si="1573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4">SUM(CGT15:CGY15)</f>
        <v>0</v>
      </c>
      <c r="CHA15" s="70">
        <f t="shared" ref="CHA15" si="1575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6">SUM(CHB15:CHG15)</f>
        <v>0</v>
      </c>
      <c r="CHI15" s="70">
        <f t="shared" ref="CHI15" si="1577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8">SUM(CHJ15:CHO15)</f>
        <v>346</v>
      </c>
      <c r="CHQ15" s="70">
        <f t="shared" ref="CHQ15" si="1579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80">SUM(CHR15:CHW15)</f>
        <v>0</v>
      </c>
      <c r="CHY15" s="70">
        <f t="shared" ref="CHY15" si="1581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82">SUM(CHZ15:CIE15)</f>
        <v>0</v>
      </c>
      <c r="CIG15" s="70">
        <f t="shared" ref="CIG15" si="1583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4">SUM(CIH15:CIM15)</f>
        <v>328</v>
      </c>
      <c r="CIO15" s="70">
        <f t="shared" ref="CIO15" si="1585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6">SUM(CIP15:CIU15)</f>
        <v>322</v>
      </c>
      <c r="CIW15" s="70">
        <f t="shared" ref="CIW15" si="1587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8">SUM(CIX15:CJC15)</f>
        <v>0</v>
      </c>
      <c r="CJE15" s="53">
        <f t="shared" ref="CJE15" si="1589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90">SUM(CJF15:CJK15)</f>
        <v>319</v>
      </c>
      <c r="CJM15" s="53">
        <f t="shared" ref="CJM15" si="1591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92">SUM(CJN15:CJS15)</f>
        <v>0</v>
      </c>
      <c r="CJU15" s="53">
        <f t="shared" ref="CJU15" si="1593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4">SUM(CJV15:CKA15)</f>
        <v>318</v>
      </c>
      <c r="CKC15" s="53">
        <f t="shared" ref="CKC15" si="1595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6">SUM(CKD15:CKI15)</f>
        <v>0</v>
      </c>
      <c r="CKK15" s="53">
        <f t="shared" ref="CKK15" si="1597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8">SUM(CKL15:CKQ15)</f>
        <v>941</v>
      </c>
      <c r="CKS15" s="53">
        <f t="shared" ref="CKS15" si="1599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600">SUM(CKT15:CKY15)</f>
        <v>0</v>
      </c>
      <c r="CLA15" s="53">
        <f t="shared" ref="CLA15" si="1601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602">SUM(CLB15:CLG15)</f>
        <v>0</v>
      </c>
      <c r="CLI15" s="53">
        <f t="shared" ref="CLI15" si="1603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4">SUM(CLJ15:CLO15)</f>
        <v>622</v>
      </c>
      <c r="CLQ15" s="53">
        <f t="shared" ref="CLQ15" si="1605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6">SUM(CLR15:CLW15)</f>
        <v>0</v>
      </c>
      <c r="CLY15" s="53">
        <f t="shared" ref="CLY15" si="1607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8">SUM(CLZ15:CME15)</f>
        <v>628</v>
      </c>
      <c r="CMG15" s="53">
        <f t="shared" ref="CMG15" si="1609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10">SUM(CMH15:CMM15)</f>
        <v>100</v>
      </c>
      <c r="CMO15" s="43">
        <f t="shared" ref="CMO15" si="1611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4"/>
        <v>624</v>
      </c>
      <c r="CMW15" s="43">
        <f t="shared" si="1025"/>
        <v>104</v>
      </c>
      <c r="CMX15" s="63"/>
      <c r="CMY15" s="64"/>
      <c r="CMZ15" s="64"/>
      <c r="CNA15" s="64"/>
      <c r="CNB15" s="64"/>
      <c r="CNC15" s="64"/>
      <c r="CND15" s="64">
        <f t="shared" si="1026"/>
        <v>0</v>
      </c>
      <c r="CNE15" s="68">
        <f t="shared" si="1027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7"/>
        <v>0</v>
      </c>
      <c r="CNM15" s="68">
        <f t="shared" si="228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9"/>
        <v>957</v>
      </c>
      <c r="CNU15" s="68">
        <f t="shared" si="230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1"/>
        <v>0</v>
      </c>
      <c r="COC15" s="68">
        <f t="shared" si="232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3"/>
        <v>0</v>
      </c>
      <c r="COK15" s="68">
        <f t="shared" si="234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5"/>
        <v>0</v>
      </c>
      <c r="COS15" s="68">
        <f t="shared" si="236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7"/>
        <v>0</v>
      </c>
      <c r="CPA15" s="68">
        <f t="shared" si="238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9"/>
        <v>635</v>
      </c>
      <c r="CPI15" s="68">
        <f t="shared" si="240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1"/>
        <v>0</v>
      </c>
      <c r="CPQ15" s="68">
        <f t="shared" si="242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3"/>
        <v>0</v>
      </c>
      <c r="CPY15" s="68">
        <f t="shared" si="244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5"/>
        <v>0</v>
      </c>
      <c r="CQG15" s="68">
        <f t="shared" si="246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7"/>
        <v>324</v>
      </c>
      <c r="CQO15" s="43">
        <f t="shared" si="248"/>
        <v>54</v>
      </c>
      <c r="CQP15" s="48"/>
      <c r="CQQ15" s="49"/>
      <c r="CQR15" s="49"/>
      <c r="CQS15" s="49"/>
      <c r="CQT15" s="49"/>
      <c r="CQU15" s="49"/>
      <c r="CQV15" s="127">
        <f t="shared" si="249"/>
        <v>0</v>
      </c>
      <c r="CQW15" s="43">
        <f t="shared" si="250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1"/>
        <v>325</v>
      </c>
      <c r="CRE15" s="43">
        <f t="shared" si="252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3"/>
        <v>0</v>
      </c>
      <c r="DKG15" s="68">
        <f t="shared" si="254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5"/>
        <v>335</v>
      </c>
      <c r="DKO15" s="68">
        <f t="shared" si="256"/>
        <v>55.833333333333336</v>
      </c>
      <c r="DKP15" s="48"/>
      <c r="DKQ15" s="49"/>
      <c r="DKR15" s="49"/>
      <c r="DKS15" s="49"/>
      <c r="DKT15" s="49"/>
      <c r="DKU15" s="49"/>
      <c r="DKV15" s="64">
        <f t="shared" si="257"/>
        <v>0</v>
      </c>
      <c r="DKW15" s="68">
        <f t="shared" si="258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9"/>
        <v>303</v>
      </c>
      <c r="DLE15" s="68">
        <f t="shared" si="260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1"/>
        <v>328</v>
      </c>
      <c r="DLM15" s="68">
        <f t="shared" si="262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3"/>
        <v>0</v>
      </c>
      <c r="DLU15" s="68">
        <f t="shared" si="264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5"/>
        <v>344</v>
      </c>
      <c r="DMC15" s="68">
        <f t="shared" si="266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7"/>
        <v>0</v>
      </c>
      <c r="DMK15" s="68">
        <f t="shared" si="268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9"/>
        <v>0</v>
      </c>
      <c r="DMS15" s="68">
        <f t="shared" si="270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1"/>
        <v>318</v>
      </c>
      <c r="DNA15" s="68">
        <f t="shared" si="272"/>
        <v>53</v>
      </c>
      <c r="DNB15" s="48"/>
      <c r="DNC15" s="49"/>
      <c r="DND15" s="49"/>
      <c r="DNE15" s="49"/>
      <c r="DNF15" s="49"/>
      <c r="DNG15" s="49"/>
      <c r="DNH15" s="64">
        <f t="shared" si="273"/>
        <v>0</v>
      </c>
      <c r="DNI15" s="68">
        <f t="shared" si="274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5"/>
        <v>0</v>
      </c>
      <c r="DNQ15" s="68">
        <f t="shared" si="276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7"/>
        <v>334</v>
      </c>
      <c r="DNY15" s="68">
        <f t="shared" si="278"/>
        <v>55.666666666666664</v>
      </c>
      <c r="DNZ15" s="48"/>
      <c r="DOA15" s="49"/>
      <c r="DOB15" s="49"/>
      <c r="DOC15" s="49"/>
      <c r="DOD15" s="49"/>
      <c r="DOE15" s="49"/>
      <c r="DOF15" s="64">
        <f t="shared" si="279"/>
        <v>0</v>
      </c>
      <c r="DOG15" s="68">
        <f t="shared" si="280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1"/>
        <v>0</v>
      </c>
      <c r="DOO15" s="68">
        <f t="shared" si="282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3"/>
        <v>283</v>
      </c>
      <c r="DOW15" s="68">
        <f t="shared" si="284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5"/>
        <v>339</v>
      </c>
      <c r="DPE15" s="68">
        <f t="shared" si="286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7"/>
        <v>0</v>
      </c>
      <c r="DPM15" s="68">
        <f t="shared" si="288"/>
        <v>0</v>
      </c>
      <c r="DPN15" s="48"/>
      <c r="DPO15" s="49"/>
      <c r="DPP15" s="49"/>
      <c r="DPQ15" s="49"/>
      <c r="DPR15" s="49"/>
      <c r="DPS15" s="49"/>
      <c r="DPT15" s="64">
        <f t="shared" si="289"/>
        <v>0</v>
      </c>
      <c r="DPU15" s="68">
        <f t="shared" si="290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1"/>
        <v>346</v>
      </c>
      <c r="DQC15" s="68">
        <f t="shared" si="292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3"/>
        <v>0</v>
      </c>
      <c r="DQK15" s="68">
        <f t="shared" si="294"/>
        <v>0</v>
      </c>
      <c r="DQL15" s="48"/>
      <c r="DQM15" s="49"/>
      <c r="DQN15" s="49"/>
      <c r="DQO15" s="49"/>
      <c r="DQP15" s="49"/>
      <c r="DQQ15" s="49"/>
      <c r="DQR15" s="64">
        <f t="shared" si="295"/>
        <v>0</v>
      </c>
      <c r="DQS15" s="68">
        <f t="shared" si="296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7"/>
        <v>339</v>
      </c>
      <c r="DRA15" s="68">
        <f t="shared" si="298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9"/>
        <v>0</v>
      </c>
      <c r="DRI15" s="68">
        <f t="shared" si="300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1"/>
        <v>339</v>
      </c>
      <c r="DRQ15" s="68">
        <f t="shared" si="302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3"/>
        <v>0</v>
      </c>
      <c r="DRY15" s="68">
        <f t="shared" si="304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5"/>
        <v>0</v>
      </c>
      <c r="DSG15" s="68">
        <f t="shared" si="306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7"/>
        <v>0</v>
      </c>
      <c r="DSO15" s="68">
        <f t="shared" si="308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9"/>
        <v>324</v>
      </c>
      <c r="DSW15" s="68">
        <f t="shared" si="310"/>
        <v>54</v>
      </c>
      <c r="DSX15" s="48"/>
      <c r="DSY15" s="49"/>
      <c r="DSZ15" s="49"/>
      <c r="DTA15" s="49"/>
      <c r="DTB15" s="49"/>
      <c r="DTC15" s="49"/>
      <c r="DTD15" s="64">
        <f t="shared" si="311"/>
        <v>0</v>
      </c>
      <c r="DTE15" s="68">
        <f t="shared" si="312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3"/>
        <v>345</v>
      </c>
      <c r="DTM15" s="68">
        <f t="shared" si="314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5"/>
        <v>0</v>
      </c>
      <c r="DTU15" s="68">
        <f t="shared" si="316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7"/>
        <v>0</v>
      </c>
      <c r="DUC15" s="68">
        <f t="shared" si="318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9"/>
        <v>348</v>
      </c>
      <c r="DUK15" s="68">
        <f t="shared" si="320"/>
        <v>58</v>
      </c>
      <c r="DUL15" s="48"/>
      <c r="DUM15" s="49"/>
      <c r="DUN15" s="49"/>
      <c r="DUO15" s="49"/>
      <c r="DUP15" s="49"/>
      <c r="DUQ15" s="49"/>
      <c r="DUR15" s="64">
        <f t="shared" si="321"/>
        <v>0</v>
      </c>
      <c r="DUS15" s="68">
        <f t="shared" si="322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3"/>
        <v>0</v>
      </c>
      <c r="DVA15" s="68">
        <f t="shared" si="324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5"/>
        <v>345</v>
      </c>
      <c r="DVI15" s="68">
        <f t="shared" si="326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7"/>
        <v>0</v>
      </c>
      <c r="DVQ15" s="68">
        <f t="shared" si="328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9"/>
        <v>354</v>
      </c>
      <c r="DVY15" s="68">
        <f t="shared" si="330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1"/>
        <v>0</v>
      </c>
      <c r="DWG15" s="68">
        <f t="shared" si="332"/>
        <v>0</v>
      </c>
      <c r="DWH15" s="48"/>
      <c r="DWI15" s="49"/>
      <c r="DWJ15" s="49"/>
      <c r="DWK15" s="49"/>
      <c r="DWL15" s="49"/>
      <c r="DWM15" s="49"/>
      <c r="DWN15" s="64">
        <f t="shared" si="333"/>
        <v>0</v>
      </c>
      <c r="DWO15" s="68">
        <f t="shared" si="334"/>
        <v>0</v>
      </c>
      <c r="DWP15" s="48"/>
      <c r="DWQ15" s="49"/>
      <c r="DWR15" s="49"/>
      <c r="DWS15" s="49"/>
      <c r="DWT15" s="49"/>
      <c r="DWU15" s="49"/>
      <c r="DWV15" s="64">
        <f t="shared" si="335"/>
        <v>0</v>
      </c>
      <c r="DWW15" s="68">
        <f t="shared" si="336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7"/>
        <v>0</v>
      </c>
      <c r="DXE15" s="68">
        <f t="shared" si="338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9"/>
        <v>336</v>
      </c>
      <c r="DXM15" s="68">
        <f t="shared" si="340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1"/>
        <v>0</v>
      </c>
      <c r="DXU15" s="184">
        <f t="shared" si="342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3"/>
        <v>0</v>
      </c>
      <c r="DYD15" s="211">
        <f t="shared" si="344"/>
        <v>0</v>
      </c>
      <c r="DYE15" s="195"/>
      <c r="DYF15" s="49"/>
      <c r="DYG15" s="49"/>
      <c r="DYH15" s="49"/>
      <c r="DYI15" s="49"/>
      <c r="DYJ15" s="49"/>
      <c r="DYK15" s="64">
        <f t="shared" si="345"/>
        <v>0</v>
      </c>
      <c r="DYL15" s="211">
        <f t="shared" si="346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7"/>
        <v>0</v>
      </c>
      <c r="DYT15" s="211">
        <f t="shared" si="348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9"/>
        <v>0</v>
      </c>
      <c r="DZB15" s="211">
        <f t="shared" si="350"/>
        <v>0</v>
      </c>
      <c r="DZC15" s="195"/>
      <c r="DZD15" s="49"/>
      <c r="DZE15" s="49"/>
      <c r="DZF15" s="49"/>
      <c r="DZG15" s="49"/>
      <c r="DZH15" s="49"/>
      <c r="DZI15" s="64">
        <f t="shared" si="351"/>
        <v>0</v>
      </c>
      <c r="DZJ15" s="211">
        <f t="shared" si="352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3"/>
        <v>371</v>
      </c>
      <c r="DZR15" s="211">
        <f t="shared" si="354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5"/>
        <v>0</v>
      </c>
      <c r="DZZ15" s="211">
        <f t="shared" si="356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7"/>
        <v>0</v>
      </c>
      <c r="EAH15" s="211">
        <f t="shared" si="358"/>
        <v>0</v>
      </c>
      <c r="EAI15" s="195"/>
      <c r="EAJ15" s="49"/>
      <c r="EAK15" s="49"/>
      <c r="EAL15" s="49"/>
      <c r="EAM15" s="49"/>
      <c r="EAN15" s="49"/>
      <c r="EAO15" s="64">
        <f t="shared" si="359"/>
        <v>0</v>
      </c>
      <c r="EAP15" s="211">
        <f t="shared" si="360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1"/>
        <v>364</v>
      </c>
      <c r="EAX15" s="211">
        <f t="shared" si="362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3"/>
        <v>600</v>
      </c>
      <c r="EBF15" s="211">
        <f t="shared" si="364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5"/>
        <v>0</v>
      </c>
      <c r="EBN15" s="211">
        <f t="shared" si="366"/>
        <v>0</v>
      </c>
      <c r="EBO15" s="195"/>
      <c r="EBP15" s="49"/>
      <c r="EBQ15" s="49"/>
      <c r="EBR15" s="49"/>
      <c r="EBS15" s="49"/>
      <c r="EBT15" s="49"/>
      <c r="EBU15" s="64">
        <f t="shared" si="367"/>
        <v>0</v>
      </c>
      <c r="EBV15" s="184">
        <f t="shared" si="368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9"/>
        <v>0</v>
      </c>
      <c r="ECD15" s="211">
        <f t="shared" si="370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1"/>
        <v>0</v>
      </c>
      <c r="ECL15" s="211">
        <f t="shared" si="372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3"/>
        <v>0</v>
      </c>
      <c r="ECT15" s="211">
        <f t="shared" si="374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5"/>
        <v>0</v>
      </c>
      <c r="EDB15" s="211">
        <f t="shared" si="376"/>
        <v>0</v>
      </c>
      <c r="EDC15" s="195"/>
      <c r="EDD15" s="49"/>
      <c r="EDE15" s="49"/>
      <c r="EDF15" s="49"/>
      <c r="EDG15" s="49"/>
      <c r="EDH15" s="49"/>
      <c r="EDI15" s="64">
        <f t="shared" si="377"/>
        <v>0</v>
      </c>
      <c r="EDJ15" s="211">
        <f t="shared" si="378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9"/>
        <v>0</v>
      </c>
      <c r="EDR15" s="211">
        <f t="shared" si="380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1"/>
        <v>200</v>
      </c>
      <c r="EDZ15" s="707">
        <f t="shared" si="382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3"/>
        <v>0</v>
      </c>
      <c r="EEH15" s="211">
        <f t="shared" si="384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5"/>
        <v>346</v>
      </c>
      <c r="EEP15" s="211">
        <f t="shared" si="386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7"/>
        <v>0</v>
      </c>
      <c r="EEX15" s="211">
        <f t="shared" si="388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9"/>
        <v>0</v>
      </c>
      <c r="EFF15" s="211">
        <f t="shared" si="390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1"/>
        <v>0</v>
      </c>
      <c r="EFN15" s="211">
        <f t="shared" si="392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3"/>
        <v>0</v>
      </c>
      <c r="EFV15" s="211">
        <f t="shared" si="394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5"/>
        <v>334</v>
      </c>
      <c r="EGD15" s="211">
        <f t="shared" si="396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7"/>
        <v>22</v>
      </c>
      <c r="EGL15" s="211">
        <f t="shared" si="398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9"/>
        <v>0</v>
      </c>
      <c r="EGT15" s="211">
        <f t="shared" si="400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1"/>
        <v>0</v>
      </c>
      <c r="EHB15" s="211">
        <f t="shared" si="402"/>
        <v>0</v>
      </c>
      <c r="EHC15" s="458"/>
      <c r="EHD15" s="83"/>
      <c r="EHE15" s="83"/>
      <c r="EHF15" s="83"/>
      <c r="EHG15" s="83"/>
      <c r="EHH15" s="83"/>
      <c r="EHI15" s="808">
        <f t="shared" si="403"/>
        <v>0</v>
      </c>
      <c r="EHJ15" s="211">
        <f t="shared" si="404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5"/>
        <v>0</v>
      </c>
      <c r="EHR15" s="211">
        <f t="shared" si="406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7"/>
        <v>200</v>
      </c>
      <c r="EHZ15" s="211">
        <f t="shared" si="408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9"/>
        <v>235</v>
      </c>
      <c r="EIH15" s="211">
        <f t="shared" si="410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1"/>
        <v>0</v>
      </c>
      <c r="EIP15" s="211">
        <f t="shared" si="412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3"/>
        <v>976</v>
      </c>
      <c r="EIX15" s="211">
        <f t="shared" si="414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5"/>
        <v>359</v>
      </c>
      <c r="EJF15" s="211">
        <f t="shared" si="416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7"/>
        <v>0</v>
      </c>
      <c r="EJN15" s="211">
        <f t="shared" si="418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9"/>
        <v>0</v>
      </c>
      <c r="EJV15" s="211">
        <f t="shared" si="420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1"/>
        <v>345</v>
      </c>
      <c r="EKD15" s="211">
        <f t="shared" si="422"/>
        <v>57.5</v>
      </c>
      <c r="EKE15" s="195"/>
      <c r="EKF15" s="49"/>
      <c r="EKG15" s="49"/>
      <c r="EKH15" s="49"/>
      <c r="EKI15" s="49"/>
      <c r="EKJ15" s="49"/>
      <c r="EKK15" s="808">
        <f t="shared" si="423"/>
        <v>0</v>
      </c>
      <c r="EKL15" s="211">
        <f t="shared" si="424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5"/>
        <v>0</v>
      </c>
      <c r="EKT15" s="211">
        <f t="shared" si="426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7"/>
        <v>0</v>
      </c>
      <c r="ELB15" s="211">
        <f t="shared" si="428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9"/>
        <v>0</v>
      </c>
      <c r="ELJ15" s="211">
        <f t="shared" si="430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1"/>
        <v>340</v>
      </c>
      <c r="ELR15" s="211">
        <f t="shared" si="432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3"/>
        <v>0</v>
      </c>
      <c r="ELZ15" s="873">
        <f t="shared" si="434"/>
        <v>0</v>
      </c>
      <c r="EMA15" s="195"/>
      <c r="EMB15" s="49"/>
      <c r="EMC15" s="49"/>
      <c r="EMD15" s="49"/>
      <c r="EME15" s="49"/>
      <c r="EMF15" s="49"/>
      <c r="EMG15" s="872">
        <f t="shared" si="435"/>
        <v>0</v>
      </c>
      <c r="EMH15" s="873">
        <f t="shared" si="436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7"/>
        <v>250</v>
      </c>
      <c r="EMP15" s="873">
        <f t="shared" si="438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9"/>
        <v>0</v>
      </c>
      <c r="EMX15" s="873">
        <f t="shared" si="440"/>
        <v>0</v>
      </c>
      <c r="EMY15" s="195"/>
      <c r="EMZ15" s="49"/>
      <c r="ENA15" s="49"/>
      <c r="ENB15" s="49"/>
      <c r="ENC15" s="49"/>
      <c r="END15" s="49"/>
      <c r="ENE15" s="872">
        <f t="shared" si="441"/>
        <v>0</v>
      </c>
      <c r="ENF15" s="873">
        <f t="shared" si="442"/>
        <v>0</v>
      </c>
    </row>
    <row r="16" spans="1:3750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3244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31"/>
        <v>3244</v>
      </c>
      <c r="N16" s="15">
        <v>111.16666666666667</v>
      </c>
      <c r="O16" s="276">
        <f t="shared" si="2"/>
        <v>29.181409295352324</v>
      </c>
      <c r="P16" s="277"/>
      <c r="Q16" s="276"/>
      <c r="R16" s="277">
        <f t="shared" si="1032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4"/>
        <v>660</v>
      </c>
      <c r="CMW16" s="53">
        <f t="shared" si="1025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6"/>
        <v>731</v>
      </c>
      <c r="CNE16" s="70">
        <f t="shared" si="1027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7"/>
        <v>518</v>
      </c>
      <c r="CNM16" s="70">
        <f t="shared" si="228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9"/>
        <v>1290</v>
      </c>
      <c r="CNU16" s="70">
        <f t="shared" si="230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1"/>
        <v>1213</v>
      </c>
      <c r="COC16" s="70">
        <f t="shared" si="232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3"/>
        <v>923</v>
      </c>
      <c r="COK16" s="70">
        <f t="shared" si="234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5"/>
        <v>641</v>
      </c>
      <c r="COS16" s="70">
        <f t="shared" si="236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7"/>
        <v>2075</v>
      </c>
      <c r="CPA16" s="70">
        <f t="shared" si="238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9"/>
        <v>1574</v>
      </c>
      <c r="CPI16" s="70">
        <f t="shared" si="240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1"/>
        <v>1918</v>
      </c>
      <c r="CPQ16" s="70">
        <f t="shared" si="242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3"/>
        <v>0</v>
      </c>
      <c r="CPY16" s="70">
        <f t="shared" si="244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5"/>
        <v>3231</v>
      </c>
      <c r="CQG16" s="70">
        <f t="shared" si="246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7"/>
        <v>642</v>
      </c>
      <c r="CQO16" s="53">
        <f t="shared" si="248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9"/>
        <v>1297</v>
      </c>
      <c r="CQW16" s="53">
        <f t="shared" si="250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1"/>
        <v>2588</v>
      </c>
      <c r="CRE16" s="53">
        <f t="shared" si="252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12">SUM(CXJ16:CXO16)</f>
        <v>1335</v>
      </c>
      <c r="CXQ16" s="68">
        <f t="shared" ref="CXQ16" si="1613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4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3"/>
        <v>693</v>
      </c>
      <c r="DKG16" s="70">
        <f t="shared" si="254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5"/>
        <v>645</v>
      </c>
      <c r="DKO16" s="70">
        <f t="shared" si="256"/>
        <v>107.5</v>
      </c>
      <c r="DKP16" s="50"/>
      <c r="DKQ16" s="51"/>
      <c r="DKR16" s="51"/>
      <c r="DKS16" s="51"/>
      <c r="DKT16" s="51"/>
      <c r="DKU16" s="51"/>
      <c r="DKV16" s="66">
        <f t="shared" si="257"/>
        <v>0</v>
      </c>
      <c r="DKW16" s="70">
        <f t="shared" si="258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9"/>
        <v>969</v>
      </c>
      <c r="DLE16" s="70">
        <f t="shared" si="260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1"/>
        <v>669</v>
      </c>
      <c r="DLM16" s="70">
        <f t="shared" si="262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3"/>
        <v>1004</v>
      </c>
      <c r="DLU16" s="70">
        <f t="shared" si="264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5"/>
        <v>0</v>
      </c>
      <c r="DMC16" s="70">
        <f t="shared" si="266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7"/>
        <v>990</v>
      </c>
      <c r="DMK16" s="70">
        <f t="shared" si="268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9"/>
        <v>325</v>
      </c>
      <c r="DMS16" s="70">
        <f t="shared" si="270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1"/>
        <v>1008</v>
      </c>
      <c r="DNA16" s="70">
        <f t="shared" si="272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3"/>
        <v>984</v>
      </c>
      <c r="DNI16" s="70">
        <f t="shared" si="274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5"/>
        <v>679</v>
      </c>
      <c r="DNQ16" s="68">
        <f t="shared" si="276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7"/>
        <v>669</v>
      </c>
      <c r="DNY16" s="70">
        <f t="shared" si="278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9"/>
        <v>389</v>
      </c>
      <c r="DOG16" s="70">
        <f t="shared" si="280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1"/>
        <v>667</v>
      </c>
      <c r="DOO16" s="70">
        <f t="shared" si="282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3"/>
        <v>1342</v>
      </c>
      <c r="DOW16" s="70">
        <f t="shared" si="284"/>
        <v>223.66666666666666</v>
      </c>
      <c r="DOX16" s="50"/>
      <c r="DOY16" s="51"/>
      <c r="DOZ16" s="51"/>
      <c r="DPA16" s="51"/>
      <c r="DPB16" s="51"/>
      <c r="DPC16" s="51"/>
      <c r="DPD16" s="66">
        <f t="shared" si="285"/>
        <v>0</v>
      </c>
      <c r="DPE16" s="70">
        <f t="shared" si="286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7"/>
        <v>933</v>
      </c>
      <c r="DPM16" s="70">
        <f t="shared" si="288"/>
        <v>155.5</v>
      </c>
      <c r="DPN16" s="50"/>
      <c r="DPO16" s="51"/>
      <c r="DPP16" s="51"/>
      <c r="DPQ16" s="51"/>
      <c r="DPR16" s="51"/>
      <c r="DPS16" s="51"/>
      <c r="DPT16" s="66">
        <f t="shared" si="289"/>
        <v>0</v>
      </c>
      <c r="DPU16" s="70">
        <f t="shared" si="290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1"/>
        <v>1323</v>
      </c>
      <c r="DQC16" s="70">
        <f t="shared" si="292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3"/>
        <v>683</v>
      </c>
      <c r="DQK16" s="70">
        <f t="shared" si="294"/>
        <v>113.83333333333333</v>
      </c>
      <c r="DQL16" s="50"/>
      <c r="DQM16" s="51"/>
      <c r="DQN16" s="51"/>
      <c r="DQO16" s="51"/>
      <c r="DQP16" s="51"/>
      <c r="DQQ16" s="51"/>
      <c r="DQR16" s="66">
        <f t="shared" si="295"/>
        <v>0</v>
      </c>
      <c r="DQS16" s="70">
        <f t="shared" si="296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7"/>
        <v>693</v>
      </c>
      <c r="DRA16" s="70">
        <f t="shared" si="298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9"/>
        <v>1532</v>
      </c>
      <c r="DRI16" s="70">
        <f t="shared" si="300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1"/>
        <v>185</v>
      </c>
      <c r="DRQ16" s="70">
        <f t="shared" si="302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3"/>
        <v>691</v>
      </c>
      <c r="DRY16" s="70">
        <f t="shared" si="304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5"/>
        <v>680</v>
      </c>
      <c r="DSG16" s="70">
        <f t="shared" si="306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7"/>
        <v>663</v>
      </c>
      <c r="DSO16" s="70">
        <f t="shared" si="308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9"/>
        <v>699</v>
      </c>
      <c r="DSW16" s="70">
        <f t="shared" si="310"/>
        <v>116.5</v>
      </c>
      <c r="DSX16" s="50"/>
      <c r="DSY16" s="51"/>
      <c r="DSZ16" s="51"/>
      <c r="DTA16" s="51"/>
      <c r="DTB16" s="51"/>
      <c r="DTC16" s="51"/>
      <c r="DTD16" s="66">
        <f t="shared" si="311"/>
        <v>0</v>
      </c>
      <c r="DTE16" s="70">
        <f t="shared" si="312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3"/>
        <v>0</v>
      </c>
      <c r="DTM16" s="70">
        <f t="shared" si="314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5"/>
        <v>694</v>
      </c>
      <c r="DTU16" s="70">
        <f t="shared" si="316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7"/>
        <v>676</v>
      </c>
      <c r="DUC16" s="70">
        <f t="shared" si="318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9"/>
        <v>0</v>
      </c>
      <c r="DUK16" s="70">
        <f t="shared" si="320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1"/>
        <v>201</v>
      </c>
      <c r="DUS16" s="70">
        <f t="shared" si="322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3"/>
        <v>351</v>
      </c>
      <c r="DVA16" s="70">
        <f t="shared" si="324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5"/>
        <v>261</v>
      </c>
      <c r="DVI16" s="70">
        <f t="shared" si="326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7"/>
        <v>339</v>
      </c>
      <c r="DVQ16" s="70">
        <f t="shared" si="328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9"/>
        <v>714</v>
      </c>
      <c r="DVY16" s="70">
        <f t="shared" si="330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1"/>
        <v>690</v>
      </c>
      <c r="DWG16" s="70">
        <f t="shared" si="332"/>
        <v>115</v>
      </c>
      <c r="DWH16" s="50"/>
      <c r="DWI16" s="51"/>
      <c r="DWJ16" s="51"/>
      <c r="DWK16" s="51"/>
      <c r="DWL16" s="51"/>
      <c r="DWM16" s="51"/>
      <c r="DWN16" s="66">
        <f t="shared" si="333"/>
        <v>0</v>
      </c>
      <c r="DWO16" s="70">
        <f t="shared" si="334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5"/>
        <v>648</v>
      </c>
      <c r="DWW16" s="70">
        <f t="shared" si="336"/>
        <v>108</v>
      </c>
      <c r="DWX16" s="50"/>
      <c r="DWY16" s="51"/>
      <c r="DWZ16" s="51"/>
      <c r="DXA16" s="51"/>
      <c r="DXB16" s="51"/>
      <c r="DXC16" s="51"/>
      <c r="DXD16" s="66">
        <f t="shared" si="337"/>
        <v>0</v>
      </c>
      <c r="DXE16" s="70">
        <f t="shared" si="338"/>
        <v>0</v>
      </c>
      <c r="DXF16" s="50"/>
      <c r="DXG16" s="51"/>
      <c r="DXH16" s="51"/>
      <c r="DXI16" s="51"/>
      <c r="DXJ16" s="51"/>
      <c r="DXK16" s="51"/>
      <c r="DXL16" s="66">
        <f t="shared" si="339"/>
        <v>0</v>
      </c>
      <c r="DXM16" s="70">
        <f t="shared" si="340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1"/>
        <v>695</v>
      </c>
      <c r="DXU16" s="210">
        <f t="shared" si="342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3"/>
        <v>0</v>
      </c>
      <c r="DYD16" s="212">
        <f t="shared" si="344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5"/>
        <v>342</v>
      </c>
      <c r="DYL16" s="212">
        <f t="shared" si="346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7"/>
        <v>352</v>
      </c>
      <c r="DYT16" s="212">
        <f t="shared" si="348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9"/>
        <v>651</v>
      </c>
      <c r="DZB16" s="212">
        <f t="shared" si="350"/>
        <v>108.5</v>
      </c>
      <c r="DZC16" s="196"/>
      <c r="DZD16" s="197"/>
      <c r="DZE16" s="197"/>
      <c r="DZF16" s="197"/>
      <c r="DZG16" s="197"/>
      <c r="DZH16" s="197"/>
      <c r="DZI16" s="246">
        <f t="shared" si="351"/>
        <v>0</v>
      </c>
      <c r="DZJ16" s="212">
        <f t="shared" si="352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3"/>
        <v>313</v>
      </c>
      <c r="DZR16" s="212">
        <f t="shared" si="354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5"/>
        <v>256</v>
      </c>
      <c r="DZZ16" s="212">
        <f t="shared" si="356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7"/>
        <v>870</v>
      </c>
      <c r="EAH16" s="212">
        <f t="shared" si="358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9"/>
        <v>351</v>
      </c>
      <c r="EAP16" s="212">
        <f t="shared" si="360"/>
        <v>58.5</v>
      </c>
      <c r="EAQ16" s="196"/>
      <c r="EAR16" s="197"/>
      <c r="EAS16" s="197"/>
      <c r="EAT16" s="197"/>
      <c r="EAU16" s="197"/>
      <c r="EAV16" s="197"/>
      <c r="EAW16" s="246">
        <f t="shared" si="361"/>
        <v>0</v>
      </c>
      <c r="EAX16" s="212">
        <f t="shared" si="362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3"/>
        <v>343</v>
      </c>
      <c r="EBF16" s="212">
        <f t="shared" si="364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5"/>
        <v>683</v>
      </c>
      <c r="EBN16" s="212">
        <f t="shared" si="366"/>
        <v>113.83333333333333</v>
      </c>
      <c r="EBO16" s="196"/>
      <c r="EBP16" s="197"/>
      <c r="EBQ16" s="197"/>
      <c r="EBR16" s="197"/>
      <c r="EBS16" s="197"/>
      <c r="EBT16" s="197"/>
      <c r="EBU16" s="246">
        <f t="shared" si="367"/>
        <v>0</v>
      </c>
      <c r="EBV16" s="199">
        <f t="shared" si="368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9"/>
        <v>688</v>
      </c>
      <c r="ECD16" s="211">
        <f t="shared" si="370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1"/>
        <v>686</v>
      </c>
      <c r="ECL16" s="211">
        <f t="shared" si="372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3"/>
        <v>677</v>
      </c>
      <c r="ECT16" s="211">
        <f t="shared" si="374"/>
        <v>112.83333333333333</v>
      </c>
      <c r="ECU16" s="195"/>
      <c r="ECV16" s="49"/>
      <c r="ECW16" s="49"/>
      <c r="ECX16" s="49"/>
      <c r="ECY16" s="49"/>
      <c r="ECZ16" s="49"/>
      <c r="EDA16" s="64">
        <f t="shared" si="375"/>
        <v>0</v>
      </c>
      <c r="EDB16" s="211">
        <f t="shared" si="376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7"/>
        <v>360</v>
      </c>
      <c r="EDJ16" s="211">
        <f t="shared" si="378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9"/>
        <v>336</v>
      </c>
      <c r="EDR16" s="211">
        <f t="shared" si="380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1"/>
        <v>677</v>
      </c>
      <c r="EDZ16" s="707">
        <f t="shared" si="382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3"/>
        <v>200</v>
      </c>
      <c r="EEH16" s="211">
        <f t="shared" si="384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5"/>
        <v>859</v>
      </c>
      <c r="EEP16" s="211">
        <f t="shared" si="386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7"/>
        <v>634</v>
      </c>
      <c r="EEX16" s="211">
        <f t="shared" si="388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9"/>
        <v>1000</v>
      </c>
      <c r="EFF16" s="211">
        <f t="shared" si="390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1"/>
        <v>728</v>
      </c>
      <c r="EFN16" s="211">
        <f t="shared" si="392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3"/>
        <v>957</v>
      </c>
      <c r="EFV16" s="211">
        <f t="shared" si="394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5"/>
        <v>0</v>
      </c>
      <c r="EGD16" s="211">
        <f t="shared" si="396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7"/>
        <v>710</v>
      </c>
      <c r="EGL16" s="211">
        <f t="shared" si="398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9"/>
        <v>681</v>
      </c>
      <c r="EGT16" s="211">
        <f t="shared" si="400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1"/>
        <v>710</v>
      </c>
      <c r="EHB16" s="211">
        <f t="shared" si="402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3"/>
        <v>1757</v>
      </c>
      <c r="EHJ16" s="211">
        <f t="shared" si="404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5"/>
        <v>0</v>
      </c>
      <c r="EHR16" s="211">
        <f t="shared" si="406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7"/>
        <v>668</v>
      </c>
      <c r="EHZ16" s="211">
        <f t="shared" si="408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9"/>
        <v>0</v>
      </c>
      <c r="EIH16" s="212">
        <f t="shared" si="410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1"/>
        <v>689</v>
      </c>
      <c r="EIP16" s="212">
        <f t="shared" si="412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3"/>
        <v>1035</v>
      </c>
      <c r="EIX16" s="212">
        <f t="shared" si="414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5"/>
        <v>0</v>
      </c>
      <c r="EJF16" s="212">
        <f t="shared" si="416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7"/>
        <v>416</v>
      </c>
      <c r="EJN16" s="212">
        <f t="shared" si="418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9"/>
        <v>261</v>
      </c>
      <c r="EJV16" s="212">
        <f t="shared" si="420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1"/>
        <v>699</v>
      </c>
      <c r="EKD16" s="212">
        <f t="shared" si="422"/>
        <v>116.5</v>
      </c>
      <c r="EKE16" s="196"/>
      <c r="EKF16" s="197"/>
      <c r="EKG16" s="197"/>
      <c r="EKH16" s="197"/>
      <c r="EKI16" s="197"/>
      <c r="EKJ16" s="197"/>
      <c r="EKK16" s="810">
        <f t="shared" si="423"/>
        <v>0</v>
      </c>
      <c r="EKL16" s="212">
        <f t="shared" si="424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5"/>
        <v>684</v>
      </c>
      <c r="EKT16" s="212">
        <f t="shared" si="426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7"/>
        <v>0</v>
      </c>
      <c r="ELB16" s="212">
        <f t="shared" si="428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9"/>
        <v>607</v>
      </c>
      <c r="ELJ16" s="212">
        <f t="shared" si="430"/>
        <v>101.16666666666667</v>
      </c>
      <c r="ELK16" s="196"/>
      <c r="ELL16" s="197"/>
      <c r="ELM16" s="197"/>
      <c r="ELN16" s="197"/>
      <c r="ELO16" s="197"/>
      <c r="ELP16" s="197"/>
      <c r="ELQ16" s="810">
        <f t="shared" si="431"/>
        <v>0</v>
      </c>
      <c r="ELR16" s="212">
        <f t="shared" si="432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3"/>
        <v>677</v>
      </c>
      <c r="ELZ16" s="879">
        <f t="shared" si="434"/>
        <v>112.83333333333333</v>
      </c>
      <c r="EMA16" s="196"/>
      <c r="EMB16" s="197"/>
      <c r="EMC16" s="197"/>
      <c r="EMD16" s="197"/>
      <c r="EME16" s="197"/>
      <c r="EMF16" s="197"/>
      <c r="EMG16" s="878">
        <f t="shared" si="435"/>
        <v>0</v>
      </c>
      <c r="EMH16" s="879">
        <f t="shared" si="436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7"/>
        <v>695</v>
      </c>
      <c r="EMP16" s="879">
        <f t="shared" si="438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9"/>
        <v>667</v>
      </c>
      <c r="EMX16" s="879">
        <f t="shared" si="440"/>
        <v>111.16666666666667</v>
      </c>
      <c r="EMY16" s="196"/>
      <c r="EMZ16" s="197"/>
      <c r="ENA16" s="197"/>
      <c r="ENB16" s="197"/>
      <c r="ENC16" s="197"/>
      <c r="END16" s="197"/>
      <c r="ENE16" s="878">
        <f t="shared" si="441"/>
        <v>0</v>
      </c>
      <c r="ENF16" s="879">
        <f t="shared" si="442"/>
        <v>0</v>
      </c>
    </row>
    <row r="17" spans="1:3750" s="8" customFormat="1" ht="15" customHeight="1" thickBot="1" x14ac:dyDescent="0.25">
      <c r="A17" s="1017" t="s">
        <v>14</v>
      </c>
      <c r="B17" s="1018"/>
      <c r="C17" s="1018"/>
      <c r="D17" s="310">
        <v>25</v>
      </c>
      <c r="E17" s="311">
        <f t="shared" ref="E17:N17" si="1615">SUM(E7:E16)</f>
        <v>0</v>
      </c>
      <c r="F17" s="311">
        <f t="shared" si="1615"/>
        <v>20319</v>
      </c>
      <c r="G17" s="311">
        <f t="shared" si="1615"/>
        <v>0</v>
      </c>
      <c r="H17" s="311">
        <f t="shared" si="1615"/>
        <v>2000</v>
      </c>
      <c r="I17" s="311">
        <f t="shared" si="1615"/>
        <v>0</v>
      </c>
      <c r="J17" s="311">
        <f t="shared" si="1615"/>
        <v>1341</v>
      </c>
      <c r="K17" s="311">
        <f t="shared" si="1615"/>
        <v>0</v>
      </c>
      <c r="L17" s="311">
        <f t="shared" si="1615"/>
        <v>20978</v>
      </c>
      <c r="M17" s="311">
        <f t="shared" si="1615"/>
        <v>20978</v>
      </c>
      <c r="N17" s="311">
        <f t="shared" si="1615"/>
        <v>501.83333333333337</v>
      </c>
      <c r="O17" s="159">
        <f t="shared" si="2"/>
        <v>41.802723347725006</v>
      </c>
      <c r="P17" s="313">
        <f>SUM(P10:P16)</f>
        <v>693.33333333333337</v>
      </c>
      <c r="Q17" s="159">
        <f>IF(P17=0,0,M17/P17*6)</f>
        <v>181.5403846153846</v>
      </c>
      <c r="R17" s="313">
        <f>SUM(R10:R16)</f>
        <v>221.53846153846158</v>
      </c>
      <c r="S17" s="314"/>
      <c r="T17" s="159">
        <f t="shared" si="4"/>
        <v>94.692361111111097</v>
      </c>
      <c r="U17" s="314">
        <f>U6</f>
        <v>0</v>
      </c>
      <c r="V17" s="159">
        <f t="shared" ref="V17" si="1616">IF(R17=0,0,(M17+U17)/R17)</f>
        <v>94.692361111111097</v>
      </c>
      <c r="W17" s="315">
        <f t="shared" ref="W17" si="1617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4"/>
        <v>0</v>
      </c>
      <c r="LG17" s="53">
        <f t="shared" si="515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9"/>
        <v>0</v>
      </c>
      <c r="ECD17" s="212">
        <f t="shared" si="370"/>
        <v>0</v>
      </c>
      <c r="ECE17" s="196"/>
      <c r="ECF17" s="197"/>
      <c r="ECG17" s="197"/>
      <c r="ECH17" s="197"/>
      <c r="ECI17" s="197"/>
      <c r="ECJ17" s="197"/>
      <c r="ECK17" s="246">
        <f t="shared" si="371"/>
        <v>0</v>
      </c>
      <c r="ECL17" s="212">
        <f t="shared" si="372"/>
        <v>0</v>
      </c>
      <c r="ECM17" s="196"/>
      <c r="ECN17" s="197"/>
      <c r="ECO17" s="197"/>
      <c r="ECP17" s="197"/>
      <c r="ECQ17" s="197"/>
      <c r="ECR17" s="197"/>
      <c r="ECS17" s="246">
        <f t="shared" si="373"/>
        <v>0</v>
      </c>
      <c r="ECT17" s="212">
        <f t="shared" si="374"/>
        <v>0</v>
      </c>
      <c r="ECU17" s="196"/>
      <c r="ECV17" s="197"/>
      <c r="ECW17" s="197"/>
      <c r="ECX17" s="197"/>
      <c r="ECY17" s="197"/>
      <c r="ECZ17" s="197"/>
      <c r="EDA17" s="246">
        <f t="shared" si="375"/>
        <v>0</v>
      </c>
      <c r="EDB17" s="212">
        <f t="shared" si="376"/>
        <v>0</v>
      </c>
      <c r="EDC17" s="196"/>
      <c r="EDD17" s="197"/>
      <c r="EDE17" s="197"/>
      <c r="EDF17" s="197"/>
      <c r="EDG17" s="197"/>
      <c r="EDH17" s="197"/>
      <c r="EDI17" s="246">
        <f t="shared" si="377"/>
        <v>0</v>
      </c>
      <c r="EDJ17" s="212">
        <f t="shared" si="378"/>
        <v>0</v>
      </c>
      <c r="EDK17" s="459"/>
      <c r="EDL17" s="460"/>
      <c r="EDM17" s="460"/>
      <c r="EDN17" s="460"/>
      <c r="EDO17" s="460"/>
      <c r="EDP17" s="460"/>
      <c r="EDQ17" s="246">
        <f t="shared" si="379"/>
        <v>0</v>
      </c>
      <c r="EDR17" s="212">
        <f t="shared" si="380"/>
        <v>0</v>
      </c>
      <c r="EDS17" s="708"/>
      <c r="EDT17" s="708"/>
      <c r="EDU17" s="708"/>
      <c r="EDV17" s="708"/>
      <c r="EDW17" s="708"/>
      <c r="EDX17" s="708"/>
      <c r="EDY17" s="707">
        <f t="shared" si="381"/>
        <v>0</v>
      </c>
      <c r="EDZ17" s="707">
        <f t="shared" si="382"/>
        <v>0</v>
      </c>
      <c r="EEA17" s="196"/>
      <c r="EEB17" s="197"/>
      <c r="EEC17" s="197"/>
      <c r="EED17" s="197"/>
      <c r="EEE17" s="197"/>
      <c r="EEF17" s="197"/>
      <c r="EEG17" s="246">
        <f t="shared" si="383"/>
        <v>0</v>
      </c>
      <c r="EEH17" s="212">
        <f t="shared" si="384"/>
        <v>0</v>
      </c>
      <c r="EEI17" s="196"/>
      <c r="EEJ17" s="197"/>
      <c r="EEK17" s="197"/>
      <c r="EEL17" s="197"/>
      <c r="EEM17" s="197"/>
      <c r="EEN17" s="197"/>
      <c r="EEO17" s="246">
        <f t="shared" si="385"/>
        <v>0</v>
      </c>
      <c r="EEP17" s="212">
        <f t="shared" si="386"/>
        <v>0</v>
      </c>
      <c r="EEQ17" s="196"/>
      <c r="EER17" s="197"/>
      <c r="EES17" s="197"/>
      <c r="EET17" s="197"/>
      <c r="EEU17" s="197"/>
      <c r="EEV17" s="197"/>
      <c r="EEW17" s="246">
        <f t="shared" si="387"/>
        <v>0</v>
      </c>
      <c r="EEX17" s="212">
        <f t="shared" si="388"/>
        <v>0</v>
      </c>
      <c r="EEY17" s="196"/>
      <c r="EEZ17" s="197"/>
      <c r="EFA17" s="197"/>
      <c r="EFB17" s="197"/>
      <c r="EFC17" s="197"/>
      <c r="EFD17" s="197"/>
      <c r="EFE17" s="246">
        <f t="shared" si="389"/>
        <v>0</v>
      </c>
      <c r="EFF17" s="212">
        <f t="shared" si="390"/>
        <v>0</v>
      </c>
      <c r="EFG17" s="196"/>
      <c r="EFH17" s="197"/>
      <c r="EFI17" s="197"/>
      <c r="EFJ17" s="197"/>
      <c r="EFK17" s="197"/>
      <c r="EFL17" s="197"/>
      <c r="EFM17" s="246">
        <f t="shared" si="391"/>
        <v>0</v>
      </c>
      <c r="EFN17" s="212">
        <f t="shared" si="392"/>
        <v>0</v>
      </c>
      <c r="EFO17" s="459"/>
      <c r="EFP17" s="460"/>
      <c r="EFQ17" s="460"/>
      <c r="EFR17" s="460"/>
      <c r="EFS17" s="460"/>
      <c r="EFT17" s="460"/>
      <c r="EFU17" s="246">
        <f t="shared" si="393"/>
        <v>0</v>
      </c>
      <c r="EFV17" s="212">
        <f t="shared" si="394"/>
        <v>0</v>
      </c>
      <c r="EFW17" s="196"/>
      <c r="EFX17" s="197"/>
      <c r="EFY17" s="197"/>
      <c r="EFZ17" s="197"/>
      <c r="EGA17" s="197"/>
      <c r="EGB17" s="197"/>
      <c r="EGC17" s="810">
        <f t="shared" si="395"/>
        <v>0</v>
      </c>
      <c r="EGD17" s="212">
        <f t="shared" si="396"/>
        <v>0</v>
      </c>
      <c r="EGE17" s="196"/>
      <c r="EGF17" s="197"/>
      <c r="EGG17" s="197"/>
      <c r="EGH17" s="197"/>
      <c r="EGI17" s="197"/>
      <c r="EGJ17" s="197"/>
      <c r="EGK17" s="810">
        <f t="shared" si="397"/>
        <v>0</v>
      </c>
      <c r="EGL17" s="212">
        <f t="shared" si="398"/>
        <v>0</v>
      </c>
      <c r="EGM17" s="816"/>
      <c r="EGN17" s="817"/>
      <c r="EGO17" s="817"/>
      <c r="EGP17" s="817"/>
      <c r="EGQ17" s="817"/>
      <c r="EGR17" s="817"/>
      <c r="EGS17" s="810">
        <f t="shared" si="399"/>
        <v>0</v>
      </c>
      <c r="EGT17" s="212">
        <f t="shared" si="400"/>
        <v>0</v>
      </c>
      <c r="EGU17" s="196"/>
      <c r="EGV17" s="197"/>
      <c r="EGW17" s="197"/>
      <c r="EGX17" s="197"/>
      <c r="EGY17" s="197"/>
      <c r="EGZ17" s="197"/>
      <c r="EHA17" s="810">
        <f t="shared" si="401"/>
        <v>0</v>
      </c>
      <c r="EHB17" s="212">
        <f t="shared" si="402"/>
        <v>0</v>
      </c>
      <c r="EHC17" s="459"/>
      <c r="EHD17" s="460"/>
      <c r="EHE17" s="460"/>
      <c r="EHF17" s="460"/>
      <c r="EHG17" s="460"/>
      <c r="EHH17" s="460"/>
      <c r="EHI17" s="810">
        <f t="shared" si="403"/>
        <v>0</v>
      </c>
      <c r="EHJ17" s="212">
        <f t="shared" si="404"/>
        <v>0</v>
      </c>
      <c r="EHK17" s="196"/>
      <c r="EHL17" s="197"/>
      <c r="EHM17" s="197"/>
      <c r="EHN17" s="197"/>
      <c r="EHO17" s="197"/>
      <c r="EHP17" s="197"/>
      <c r="EHQ17" s="810">
        <f t="shared" si="405"/>
        <v>0</v>
      </c>
      <c r="EHR17" s="212">
        <f t="shared" si="406"/>
        <v>0</v>
      </c>
      <c r="EHS17" s="196"/>
      <c r="EHT17" s="197"/>
      <c r="EHU17" s="197"/>
      <c r="EHV17" s="197"/>
      <c r="EHW17" s="197"/>
      <c r="EHX17" s="197"/>
      <c r="EHY17" s="810">
        <f t="shared" si="407"/>
        <v>0</v>
      </c>
      <c r="EHZ17" s="212">
        <f t="shared" si="408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  <c r="EMY17" s="1"/>
      <c r="EMZ17" s="1"/>
      <c r="ENA17" s="1"/>
      <c r="ENB17" s="1"/>
      <c r="ENC17" s="1"/>
      <c r="END17" s="1"/>
    </row>
    <row r="18" spans="1:3750" ht="15" customHeight="1" x14ac:dyDescent="0.2">
      <c r="A18" s="12" t="s">
        <v>25</v>
      </c>
      <c r="B18" s="12"/>
      <c r="X18" s="2"/>
      <c r="AB18" s="292"/>
      <c r="AC18" s="292"/>
    </row>
    <row r="19" spans="1:3750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50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50" ht="15" customHeight="1" x14ac:dyDescent="0.2">
      <c r="C21" s="12"/>
      <c r="X21" s="13"/>
      <c r="AA21" s="13"/>
      <c r="AB21" s="10"/>
      <c r="AC21" s="10"/>
    </row>
    <row r="22" spans="1:3750" ht="32.25" customHeight="1" x14ac:dyDescent="0.2">
      <c r="A22" s="1014" t="s">
        <v>272</v>
      </c>
      <c r="B22" s="1015"/>
      <c r="C22" s="1015"/>
      <c r="D22" s="1015"/>
      <c r="E22" s="1015"/>
      <c r="F22" s="1015"/>
      <c r="G22" s="1015"/>
      <c r="H22" s="1015"/>
      <c r="I22" s="1015"/>
      <c r="J22" s="1015"/>
      <c r="K22" s="1015"/>
      <c r="L22" s="1015"/>
      <c r="M22" s="1016"/>
      <c r="N22" s="928" t="s">
        <v>252</v>
      </c>
      <c r="O22" s="929"/>
      <c r="P22" s="949" t="s">
        <v>255</v>
      </c>
      <c r="Q22" s="950"/>
      <c r="R22" s="950"/>
      <c r="S22" s="950"/>
      <c r="T22" s="950"/>
      <c r="U22" s="980" t="s">
        <v>260</v>
      </c>
      <c r="V22" s="983" t="s">
        <v>259</v>
      </c>
      <c r="W22" s="986" t="s">
        <v>265</v>
      </c>
      <c r="X22" s="989" t="s">
        <v>262</v>
      </c>
      <c r="Y22" s="1019" t="s">
        <v>1</v>
      </c>
      <c r="Z22" s="1020"/>
      <c r="AA22" s="1020"/>
      <c r="AB22" s="1021"/>
      <c r="AC22" s="978" t="s">
        <v>327</v>
      </c>
    </row>
    <row r="23" spans="1:3750" s="97" customFormat="1" ht="27" customHeight="1" thickBot="1" x14ac:dyDescent="0.25">
      <c r="A23" s="989" t="s">
        <v>248</v>
      </c>
      <c r="B23" s="983" t="s">
        <v>249</v>
      </c>
      <c r="C23" s="1001" t="s">
        <v>250</v>
      </c>
      <c r="D23" s="989" t="s">
        <v>251</v>
      </c>
      <c r="E23" s="919" t="s">
        <v>232</v>
      </c>
      <c r="F23" s="920"/>
      <c r="G23" s="917" t="s">
        <v>233</v>
      </c>
      <c r="H23" s="918"/>
      <c r="I23" s="917" t="s">
        <v>234</v>
      </c>
      <c r="J23" s="918"/>
      <c r="K23" s="908" t="s">
        <v>235</v>
      </c>
      <c r="L23" s="909"/>
      <c r="M23" s="910"/>
      <c r="N23" s="933" t="s">
        <v>254</v>
      </c>
      <c r="O23" s="933" t="s">
        <v>253</v>
      </c>
      <c r="P23" s="954" t="s">
        <v>256</v>
      </c>
      <c r="Q23" s="954" t="s">
        <v>253</v>
      </c>
      <c r="R23" s="951" t="s">
        <v>257</v>
      </c>
      <c r="S23" s="316"/>
      <c r="T23" s="953" t="s">
        <v>258</v>
      </c>
      <c r="U23" s="981"/>
      <c r="V23" s="984"/>
      <c r="W23" s="987"/>
      <c r="X23" s="990"/>
      <c r="Y23" s="1009" t="s">
        <v>10</v>
      </c>
      <c r="Z23" s="1009" t="s">
        <v>11</v>
      </c>
      <c r="AA23" s="1009" t="s">
        <v>12</v>
      </c>
      <c r="AB23" s="1009" t="s">
        <v>18</v>
      </c>
      <c r="AC23" s="978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50" s="97" customFormat="1" ht="45" customHeight="1" thickBot="1" x14ac:dyDescent="0.25">
      <c r="A24" s="990"/>
      <c r="B24" s="1003"/>
      <c r="C24" s="1002"/>
      <c r="D24" s="990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35"/>
      <c r="O24" s="935"/>
      <c r="P24" s="955"/>
      <c r="Q24" s="955"/>
      <c r="R24" s="952"/>
      <c r="S24" s="316"/>
      <c r="T24" s="953"/>
      <c r="U24" s="982"/>
      <c r="V24" s="985"/>
      <c r="W24" s="988"/>
      <c r="X24" s="990"/>
      <c r="Y24" s="1022"/>
      <c r="Z24" s="1010"/>
      <c r="AA24" s="1010"/>
      <c r="AB24" s="1010"/>
      <c r="AC24" s="978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  <c r="EMY24" s="680">
        <v>12</v>
      </c>
      <c r="EMZ24" s="681">
        <v>13</v>
      </c>
      <c r="ENA24" s="681">
        <v>14</v>
      </c>
      <c r="ENB24" s="681">
        <v>15</v>
      </c>
      <c r="ENC24" s="681">
        <v>16</v>
      </c>
      <c r="END24" s="681">
        <v>17</v>
      </c>
      <c r="ENE24" s="874" t="s">
        <v>263</v>
      </c>
      <c r="ENF24" s="875" t="s">
        <v>264</v>
      </c>
    </row>
    <row r="25" spans="1:3750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8">F25+H25-J25</f>
        <v>80</v>
      </c>
      <c r="M25" s="15">
        <f>K25+L25</f>
        <v>80</v>
      </c>
      <c r="N25" s="15">
        <v>3.3333333333333335</v>
      </c>
      <c r="O25" s="276">
        <f t="shared" ref="O25:O29" si="1619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20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21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22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3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4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5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6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7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8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9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30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31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32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3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4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5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6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7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8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9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40">SUM(ABX25:ACC25)</f>
        <v>207</v>
      </c>
      <c r="ACE25" s="68">
        <f t="shared" ref="ACE25:ACE29" si="1641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42">SUM(AKF25:AKK25)</f>
        <v>0</v>
      </c>
      <c r="AKM25" s="43">
        <f t="shared" ref="AKM25" si="1643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4">SUM(AKN25:AKS25)</f>
        <v>0</v>
      </c>
      <c r="AKU25" s="43">
        <f t="shared" ref="AKU25" si="1645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6">SUM(AKV25:ALA25)</f>
        <v>99</v>
      </c>
      <c r="ALC25" s="43">
        <f t="shared" ref="ALC25" si="1647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8">SUM(ALD25:ALI25)</f>
        <v>100</v>
      </c>
      <c r="ALK25" s="43">
        <f t="shared" ref="ALK25" si="1649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50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51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52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3">SUM(CZF25:CZK25)</f>
        <v>40</v>
      </c>
      <c r="CZM25" s="68">
        <f t="shared" ref="CZM25:CZM29" si="1654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5">SUM(CZN25:CZS25)</f>
        <v>0</v>
      </c>
      <c r="CZU25" s="68">
        <f t="shared" ref="CZU25:CZU29" si="1656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7">SUM(CZV25:DAA25)</f>
        <v>30</v>
      </c>
      <c r="DAC25" s="68">
        <f t="shared" ref="DAC25:DAC29" si="1658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9">SUM(DAD25:DAI25)</f>
        <v>0</v>
      </c>
      <c r="DAK25" s="68">
        <f t="shared" ref="DAK25:DAK29" si="1660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61">SUM(DAL25:DAQ25)</f>
        <v>30</v>
      </c>
      <c r="DAS25" s="68">
        <f t="shared" ref="DAS25:DAS29" si="1662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3">SUM(DAT25:DAY25)</f>
        <v>30</v>
      </c>
      <c r="DBA25" s="68">
        <f t="shared" ref="DBA25:DBA29" si="1664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5">SUM(DBB25:DBG25)</f>
        <v>30</v>
      </c>
      <c r="DBI25" s="492">
        <f t="shared" ref="DBI25:DBI29" si="1666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7">SUM(DBJ25:DBO25)</f>
        <v>0</v>
      </c>
      <c r="DBQ25" s="68">
        <f t="shared" ref="DBQ25:DBQ29" si="1668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9">SUM(DBR25:DBW25)</f>
        <v>0</v>
      </c>
      <c r="DBY25" s="68">
        <f t="shared" ref="DBY25:DBY29" si="1670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71">SUM(DBZ25:DCE25)</f>
        <v>0</v>
      </c>
      <c r="DCG25" s="492">
        <f t="shared" ref="DCG25:DCG29" si="1672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3">SUM(DCH25:DCM25)</f>
        <v>50</v>
      </c>
      <c r="DCO25" s="68">
        <f t="shared" ref="DCO25:DCO29" si="1674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5">SUM(DCP25:DCU25)</f>
        <v>0</v>
      </c>
      <c r="DCW25" s="492">
        <f t="shared" ref="DCW25:DCW29" si="1676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7">SUM(DCX25:DDC25)</f>
        <v>0</v>
      </c>
      <c r="DDE25" s="492">
        <f t="shared" ref="DDE25:DDE29" si="1678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9">SUM(DDF25:DDK25)</f>
        <v>40</v>
      </c>
      <c r="DDM25" s="492">
        <f t="shared" ref="DDM25:DDM29" si="1680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81">SUM(DDN25:DDS25)</f>
        <v>0</v>
      </c>
      <c r="DDU25" s="68">
        <f t="shared" ref="DDU25:DDU29" si="1682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3">SUM(DDV25:DEA25)</f>
        <v>0</v>
      </c>
      <c r="DEC25" s="492">
        <f t="shared" ref="DEC25:DEC29" si="1684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5">SUM(DED25:DEI25)</f>
        <v>0</v>
      </c>
      <c r="DEK25" s="492">
        <f t="shared" ref="DEK25:DEK29" si="1686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7">SUM(DEL25:DEQ25)</f>
        <v>50</v>
      </c>
      <c r="DES25" s="68">
        <f t="shared" ref="DES25:DES29" si="1688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9">SUM(DET25:DEY25)</f>
        <v>0</v>
      </c>
      <c r="DFA25" s="492">
        <f t="shared" ref="DFA25:DFA29" si="1690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91">SUM(DFB25:DFG25)</f>
        <v>0</v>
      </c>
      <c r="DFI25" s="68">
        <f t="shared" ref="DFI25:DFI29" si="1692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3">SUM(DFJ25:DFO25)</f>
        <v>61</v>
      </c>
      <c r="DFQ25" s="68">
        <f t="shared" ref="DFQ25:DFQ29" si="1694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5">SUM(DFR25:DFW25)</f>
        <v>0</v>
      </c>
      <c r="DFY25" s="68">
        <f t="shared" ref="DFY25:DFY29" si="1696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7">SUM(DFZ25:DGE25)</f>
        <v>0</v>
      </c>
      <c r="DGG25" s="68">
        <f t="shared" ref="DGG25:DGG29" si="1698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9">SUM(DGH25:DGM25)</f>
        <v>71</v>
      </c>
      <c r="DGO25" s="68">
        <f t="shared" ref="DGO25:DGO29" si="1700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701">SUM(DGP25:DGU25)</f>
        <v>0</v>
      </c>
      <c r="DGW25" s="68">
        <f t="shared" ref="DGW25:DGW29" si="1702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3">SUM(DGX25:DHC25)</f>
        <v>0</v>
      </c>
      <c r="DHE25" s="68">
        <f t="shared" ref="DHE25:DHE29" si="1704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5">SUM(DHF25:DHK25)</f>
        <v>0</v>
      </c>
      <c r="DHM25" s="68">
        <f t="shared" ref="DHM25:DHM29" si="1706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7">SUM(DHN25:DHS25)</f>
        <v>0</v>
      </c>
      <c r="DHU25" s="68">
        <f t="shared" ref="DHU25:DHU29" si="1708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9">SUM(DHV25:DIA25)</f>
        <v>50</v>
      </c>
      <c r="DIC25" s="68">
        <f t="shared" ref="DIC25:DIC29" si="1710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11">SUM(DID25:DII25)</f>
        <v>30</v>
      </c>
      <c r="DIK25" s="184">
        <f t="shared" ref="DIK25:DIK29" si="1712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3">SUM(DIL25:DIQ25)</f>
        <v>0</v>
      </c>
      <c r="DIS25" s="184">
        <f t="shared" ref="DIS25:DIS29" si="1714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5">SUM(DIT25:DIY25)</f>
        <v>0</v>
      </c>
      <c r="DJA25" s="68">
        <f t="shared" ref="DJA25:DJA29" si="1716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7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8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9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20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21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22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3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4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5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6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7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8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9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30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31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32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3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4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5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6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7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8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9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40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41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42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3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4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5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6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7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8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9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50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51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52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3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4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5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6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7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8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9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60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61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62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3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4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5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6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7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8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9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70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71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72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3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4">SUM(EAY25:EBD25)</f>
        <v>0</v>
      </c>
      <c r="EBF25" s="211">
        <f t="shared" ref="EBF25:EBF29" si="1775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6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7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8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9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80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81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82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3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4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5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6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7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8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9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90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91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92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3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4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5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6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7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8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9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800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801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802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3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4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5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6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7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8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9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10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11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12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3">SUM(EMQ25:EMV25)</f>
        <v>0</v>
      </c>
      <c r="EMX25" s="877">
        <f>EMW25/$EMX$5</f>
        <v>0</v>
      </c>
      <c r="EMY25" s="683"/>
      <c r="EMZ25" s="684"/>
      <c r="ENA25" s="684"/>
      <c r="ENB25" s="684"/>
      <c r="ENC25" s="684"/>
      <c r="END25" s="684"/>
      <c r="ENE25" s="876">
        <f t="shared" ref="ENE25" si="1814">SUM(EMY25:END25)</f>
        <v>0</v>
      </c>
      <c r="ENF25" s="877">
        <f>ENE25/$ENF$5</f>
        <v>0</v>
      </c>
    </row>
    <row r="26" spans="1:3750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5">E26+G26-I26</f>
        <v>0</v>
      </c>
      <c r="L26" s="24">
        <f t="shared" si="1618"/>
        <v>2170</v>
      </c>
      <c r="M26" s="15">
        <f t="shared" ref="M26:M29" si="1816">K26+L26</f>
        <v>2170</v>
      </c>
      <c r="N26" s="444">
        <v>21.666666666666668</v>
      </c>
      <c r="O26" s="276">
        <f t="shared" si="1619"/>
        <v>100.15384615384615</v>
      </c>
      <c r="P26" s="277">
        <v>25</v>
      </c>
      <c r="Q26" s="276">
        <f t="shared" ref="Q26:Q29" si="1817">IF(P26=0,0,M26/P26*6)</f>
        <v>520.79999999999995</v>
      </c>
      <c r="R26" s="277">
        <f t="shared" ref="R26:R29" si="1818">S26/$S$3</f>
        <v>10.76923076923077</v>
      </c>
      <c r="S26" s="222">
        <v>280</v>
      </c>
      <c r="T26" s="276">
        <f t="shared" ref="T26:T29" si="1819">IF(R26=0,0,M26/R26)</f>
        <v>201.49999999999997</v>
      </c>
      <c r="U26" s="278"/>
      <c r="V26" s="276">
        <f t="shared" ref="V26:V29" si="1820">IF(R26=0,0,(M26+U26)/R26)</f>
        <v>201.49999999999997</v>
      </c>
      <c r="W26" s="279">
        <f t="shared" ref="W26:W30" si="1821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22">SUM(AF26:AK26)</f>
        <v>411</v>
      </c>
      <c r="AM26" s="43">
        <f t="shared" ref="AM26:AM29" si="1823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4">SUM(AN26:AS26)</f>
        <v>402</v>
      </c>
      <c r="AU26" s="43">
        <f t="shared" ref="AU26:AU29" si="1825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6">SUM(AV26:BA26)</f>
        <v>595</v>
      </c>
      <c r="BC26" s="43">
        <f t="shared" ref="BC26:BC29" si="1827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8">SUM(BD26:BI26)</f>
        <v>2129</v>
      </c>
      <c r="BK26" s="43">
        <f t="shared" ref="BK26:BK29" si="1829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30">SUM(BL26:BQ26)</f>
        <v>1000</v>
      </c>
      <c r="BS26" s="43">
        <f t="shared" ref="BS26:BS29" si="1831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32">SUM(BT26:BY26)</f>
        <v>1580</v>
      </c>
      <c r="CA26" s="43">
        <f t="shared" ref="CA26:CA29" si="1833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4">SUM(CB26:CG26)</f>
        <v>0</v>
      </c>
      <c r="CI26" s="43">
        <f t="shared" ref="CI26:CI29" si="1835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6">SUM(CJ26:CO26)</f>
        <v>999</v>
      </c>
      <c r="CQ26" s="43">
        <f t="shared" ref="CQ26:CQ29" si="1837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8">SUM(CR26:CW26)</f>
        <v>697</v>
      </c>
      <c r="CY26" s="43">
        <f t="shared" ref="CY26:CY29" si="1839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40">SUM(CZ26:DE26)</f>
        <v>0</v>
      </c>
      <c r="DG26" s="43">
        <f t="shared" ref="DG26:DG29" si="1841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42">SUM(DH26:DM26)</f>
        <v>598</v>
      </c>
      <c r="DO26" s="43">
        <f t="shared" ref="DO26:DO29" si="1843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4">SUM(DP26:DU26)</f>
        <v>1036</v>
      </c>
      <c r="DW26" s="43">
        <f t="shared" ref="DW26:DW29" si="1845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6">SUM(DX26:EC26)</f>
        <v>1000</v>
      </c>
      <c r="EE26" s="43">
        <f t="shared" ref="EE26:EE29" si="1847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8">SUM(EF26:EK26)</f>
        <v>201</v>
      </c>
      <c r="EM26" s="43">
        <f t="shared" ref="EM26:EM29" si="1849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50">SUM(EN26:ES26)</f>
        <v>798</v>
      </c>
      <c r="EU26" s="43">
        <f t="shared" ref="EU26:EU29" si="1851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52">SUM(EV26:FA26)</f>
        <v>798</v>
      </c>
      <c r="FC26" s="43">
        <f t="shared" ref="FC26:FC29" si="1853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4">SUM(FD26:FI26)</f>
        <v>800</v>
      </c>
      <c r="FK26" s="43">
        <f t="shared" ref="FK26:FK29" si="1855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6">SUM(FL26:FQ26)</f>
        <v>990</v>
      </c>
      <c r="FS26" s="43">
        <f t="shared" ref="FS26:FS29" si="1857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8">SUM(FT26:FY26)</f>
        <v>576</v>
      </c>
      <c r="GA26" s="43">
        <f t="shared" ref="GA26:GA29" si="1859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60">SUM(GB26:GG26)</f>
        <v>1555</v>
      </c>
      <c r="GI26" s="43">
        <f t="shared" ref="GI26:GI29" si="1861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62">SUM(GJ26:GO26)</f>
        <v>400</v>
      </c>
      <c r="GQ26" s="43">
        <f t="shared" ref="GQ26:GQ29" si="1863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4">SUM(GR26:GW26)</f>
        <v>998</v>
      </c>
      <c r="GY26" s="43">
        <f t="shared" ref="GY26:GY29" si="1865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6">SUM(GZ26:HE26)</f>
        <v>1000</v>
      </c>
      <c r="HG26" s="43">
        <f t="shared" ref="HG26:HG29" si="1867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8">SUM(HH26:HM26)</f>
        <v>702</v>
      </c>
      <c r="HO26" s="43">
        <f t="shared" ref="HO26:HO29" si="1869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70">SUM(HP26:HU26)</f>
        <v>800</v>
      </c>
      <c r="HW26" s="43">
        <f t="shared" ref="HW26:HW29" si="1871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72">SUM(HX26:IC26)</f>
        <v>1400</v>
      </c>
      <c r="IE26" s="43">
        <f t="shared" ref="IE26:IE29" si="1873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4">SUM(IF26:IK26)</f>
        <v>1000</v>
      </c>
      <c r="IM26" s="43">
        <f t="shared" ref="IM26:IM29" si="1875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6">SUM(IN26:IS26)</f>
        <v>734</v>
      </c>
      <c r="IU26" s="43">
        <f t="shared" ref="IU26:IU29" si="1877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8">SUM(IV26:JA26)</f>
        <v>1118</v>
      </c>
      <c r="JC26" s="43">
        <f t="shared" ref="JC26:JC29" si="1879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80">SUM(JD26:JI26)</f>
        <v>1546</v>
      </c>
      <c r="JK26" s="43">
        <f t="shared" ref="JK26:JK29" si="1881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82">SUM(JL26:JQ26)</f>
        <v>1996</v>
      </c>
      <c r="JS26" s="43">
        <f t="shared" ref="JS26:JS29" si="1883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4">SUM(JT26:JY26)</f>
        <v>599</v>
      </c>
      <c r="KA26" s="43">
        <f t="shared" ref="KA26:KA29" si="1885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6">SUM(KB26:KG26)</f>
        <v>799</v>
      </c>
      <c r="KI26" s="43">
        <f t="shared" ref="KI26:KI29" si="1887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8">SUM(KJ26:KO26)</f>
        <v>1000</v>
      </c>
      <c r="KQ26" s="43">
        <f t="shared" ref="KQ26:KQ29" si="1889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90">SUM(KR26:KW26)</f>
        <v>796</v>
      </c>
      <c r="KY26" s="43">
        <f t="shared" ref="KY26:KY29" si="1891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92">SUM(KZ26:LE26)</f>
        <v>800</v>
      </c>
      <c r="LG26" s="43">
        <f t="shared" ref="LG26:LG29" si="1893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4">SUM(LH26:LM26)</f>
        <v>1400</v>
      </c>
      <c r="LO26" s="68">
        <f t="shared" ref="LO26:LO29" si="1895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6">SUM(LP26:LU26)</f>
        <v>0</v>
      </c>
      <c r="LW26" s="68">
        <f t="shared" ref="LW26:LW29" si="1897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8">SUM(LX26:MC26)</f>
        <v>1486</v>
      </c>
      <c r="ME26" s="68">
        <f t="shared" ref="ME26:ME29" si="1899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900">SUM(MF26:MK26)</f>
        <v>803</v>
      </c>
      <c r="MM26" s="43">
        <f t="shared" ref="MM26:MM29" si="1901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902">SUM(MN26:MS26)</f>
        <v>599</v>
      </c>
      <c r="MU26" s="43">
        <f t="shared" ref="MU26:MU29" si="1903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4">SUM(MV26:NA26)</f>
        <v>995</v>
      </c>
      <c r="NC26" s="43">
        <f t="shared" ref="NC26:NC29" si="1905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6">SUM(ND26:NI26)</f>
        <v>970</v>
      </c>
      <c r="NK26" s="43">
        <f t="shared" ref="NK26:NK29" si="1907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8">SUM(NL26:NQ26)</f>
        <v>390</v>
      </c>
      <c r="NS26" s="43">
        <f t="shared" ref="NS26:NS29" si="1909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10">SUM(NT26:NY26)</f>
        <v>1208</v>
      </c>
      <c r="OA26" s="43">
        <f t="shared" ref="OA26:OA29" si="1911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12">SUM(OB26:OG26)</f>
        <v>698</v>
      </c>
      <c r="OI26" s="43">
        <f t="shared" ref="OI26:OI29" si="1913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4">SUM(OJ26:OO26)</f>
        <v>1402</v>
      </c>
      <c r="OQ26" s="43">
        <f t="shared" ref="OQ26:OQ29" si="1915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6">SUM(OR26:OW26)</f>
        <v>988</v>
      </c>
      <c r="OY26" s="68">
        <f t="shared" ref="OY26:OY29" si="1917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8">SUM(OZ26:PE26)</f>
        <v>809</v>
      </c>
      <c r="PG26" s="68">
        <f t="shared" ref="PG26:PG29" si="1919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20">SUM(PH26:PM26)</f>
        <v>803</v>
      </c>
      <c r="PO26" s="105">
        <f t="shared" ref="PO26:PO29" si="1921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22">SUM(PP26:PU26)</f>
        <v>1400</v>
      </c>
      <c r="PW26" s="105">
        <f t="shared" ref="PW26:PW29" si="1923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4">SUM(PX26:QC26)</f>
        <v>1000</v>
      </c>
      <c r="QE26" s="105">
        <f t="shared" ref="QE26:QE29" si="1925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6">SUM(QF26:QK26)</f>
        <v>797</v>
      </c>
      <c r="QM26" s="105">
        <f t="shared" ref="QM26:QM29" si="1927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8">SUM(QN26:QS26)</f>
        <v>1216</v>
      </c>
      <c r="QU26" s="105">
        <f t="shared" ref="QU26:QU29" si="1929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30">SUM(QV26:RA26)</f>
        <v>1223</v>
      </c>
      <c r="RC26" s="105">
        <f t="shared" ref="RC26:RC29" si="1931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32">SUM(RD26:RI26)</f>
        <v>1719</v>
      </c>
      <c r="RK26" s="105">
        <f t="shared" ref="RK26:RK29" si="1933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4">SUM(RL26:RQ26)</f>
        <v>529</v>
      </c>
      <c r="RS26" s="105">
        <f t="shared" ref="RS26:RS29" si="1935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6">SUM(RT26:RY26)</f>
        <v>793</v>
      </c>
      <c r="SA26" s="105">
        <f t="shared" ref="SA26:SA29" si="1937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8">SUM(SB26:SG26)</f>
        <v>898</v>
      </c>
      <c r="SI26" s="105">
        <f t="shared" ref="SI26:SI29" si="1939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40">SUM(SJ26:SO26)</f>
        <v>1363</v>
      </c>
      <c r="SQ26" s="105">
        <f t="shared" ref="SQ26:SQ29" si="1941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42">SUM(SR26:SW26)</f>
        <v>900</v>
      </c>
      <c r="SY26" s="105">
        <f t="shared" ref="SY26:SY29" si="1943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4">SUM(SZ26:TE26)</f>
        <v>827</v>
      </c>
      <c r="TG26" s="105">
        <f t="shared" ref="TG26:TG29" si="1945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6">SUM(TH26:TM26)</f>
        <v>876</v>
      </c>
      <c r="TO26" s="105">
        <f t="shared" ref="TO26:TO29" si="1947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8">SUM(TQ26:TV26)</f>
        <v>1000</v>
      </c>
      <c r="TX26" s="105">
        <f t="shared" ref="TX26:TX29" si="1949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50">SUM(TY26:UD26)</f>
        <v>196</v>
      </c>
      <c r="UF26" s="105">
        <f t="shared" ref="UF26:UF29" si="1951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52">SUM(UG26:UL26)</f>
        <v>1007</v>
      </c>
      <c r="UN26" s="105">
        <f t="shared" ref="UN26:UN29" si="1953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4">SUM(UO26:UT26)</f>
        <v>802</v>
      </c>
      <c r="UV26" s="68">
        <f t="shared" ref="UV26:UV29" si="1955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6">SUM(UW26:VB26)</f>
        <v>800</v>
      </c>
      <c r="VD26" s="105">
        <f t="shared" ref="VD26:VD29" si="1957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8">SUM(VE26:VJ26)</f>
        <v>1193</v>
      </c>
      <c r="VL26" s="68">
        <f t="shared" ref="VL26:VL29" si="1959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60">SUM(VN26:VS26)</f>
        <v>815</v>
      </c>
      <c r="VU26" s="105">
        <f t="shared" ref="VU26:VU29" si="1961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62">SUM(VW26:WB26)</f>
        <v>1199</v>
      </c>
      <c r="WD26" s="68">
        <f t="shared" ref="WD26:WD29" si="1963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4">SUM(WF26:WK26)</f>
        <v>1000</v>
      </c>
      <c r="WM26" s="68">
        <f t="shared" ref="WM26:WM29" si="1965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6">SUM(WO26:WT26)</f>
        <v>1205</v>
      </c>
      <c r="WV26" s="68">
        <f t="shared" ref="WV26:WV29" si="1967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8">SUM(WX26:XC26)</f>
        <v>803</v>
      </c>
      <c r="XE26" s="68">
        <f t="shared" ref="XE26:XE29" si="1969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70">SUM(XF26:XK26)</f>
        <v>800</v>
      </c>
      <c r="XM26" s="68">
        <f t="shared" ref="XM26:XM29" si="1971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72">SUM(XN26:XS26)</f>
        <v>583</v>
      </c>
      <c r="XU26" s="68">
        <f t="shared" ref="XU26:XU29" si="1973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4">SUM(XV26:YA26)</f>
        <v>1002</v>
      </c>
      <c r="YC26" s="68">
        <f t="shared" ref="YC26:YC29" si="1975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6">SUM(YE26:YJ26)</f>
        <v>1013</v>
      </c>
      <c r="YL26" s="68">
        <f t="shared" ref="YL26:YL29" si="1977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8">SUM(YN26:YS26)</f>
        <v>787</v>
      </c>
      <c r="YU26" s="68">
        <f t="shared" ref="YU26:YU29" si="1979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80">SUM(YV26:ZA26)</f>
        <v>1000</v>
      </c>
      <c r="ZC26" s="68">
        <f t="shared" ref="ZC26:ZC29" si="1981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82">SUM(ZD26:ZI26)</f>
        <v>1528</v>
      </c>
      <c r="ZK26" s="68">
        <f t="shared" ref="ZK26:ZK29" si="1983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4">SUM(ZL26:ZQ26)</f>
        <v>802</v>
      </c>
      <c r="ZS26" s="68">
        <f t="shared" ref="ZS26:ZS29" si="1985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6">SUM(ZT26:ZY26)</f>
        <v>805</v>
      </c>
      <c r="AAA26" s="68">
        <f t="shared" ref="AAA26:AAA29" si="1987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8">SUM(AAB26:AAG26)</f>
        <v>728</v>
      </c>
      <c r="AAI26" s="68">
        <f t="shared" ref="AAI26:AAI29" si="1989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90">SUM(AAJ26:AAO26)</f>
        <v>793</v>
      </c>
      <c r="AAQ26" s="68">
        <f t="shared" ref="AAQ26:AAQ29" si="1991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92">SUM(AAR26:AAW26)</f>
        <v>110</v>
      </c>
      <c r="AAY26" s="68">
        <f t="shared" ref="AAY26:AAY29" si="1993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4">SUM(AAZ26:ABE26)</f>
        <v>440</v>
      </c>
      <c r="ABG26" s="68">
        <f t="shared" ref="ABG26:ABG29" si="1995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6">SUM(ABH26:ABM26)</f>
        <v>1186</v>
      </c>
      <c r="ABO26" s="68">
        <f t="shared" ref="ABO26:ABO29" si="1997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8">SUM(ABP26:ABU26)</f>
        <v>802</v>
      </c>
      <c r="ABW26" s="68">
        <f t="shared" ref="ABW26:ABW29" si="1999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2000">SUM(ABX26:ACC26)</f>
        <v>640</v>
      </c>
      <c r="ACE26" s="68">
        <f t="shared" si="1641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2001">SUM(ACF26:ACK26)</f>
        <v>381</v>
      </c>
      <c r="ACM26" s="68">
        <f t="shared" ref="ACM26:ACM29" si="2002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2003">SUM(ACN26:ACS26)</f>
        <v>932</v>
      </c>
      <c r="ACU26" s="68">
        <f t="shared" ref="ACU26:ACU29" si="2004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5">SUM(ACV26:ADA26)</f>
        <v>638</v>
      </c>
      <c r="ADC26" s="68">
        <f t="shared" ref="ADC26:ADC29" si="2006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7">SUM(ADD26:ADI26)</f>
        <v>830</v>
      </c>
      <c r="ADK26" s="68">
        <f t="shared" ref="ADK26:ADK29" si="2008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9">SUM(ADL26:ADQ26)</f>
        <v>420</v>
      </c>
      <c r="ADS26" s="68">
        <f t="shared" ref="ADS26:ADS29" si="2010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11">SUM(ADT26:ADY26)</f>
        <v>660</v>
      </c>
      <c r="AEA26" s="68">
        <f t="shared" ref="AEA26:AEA29" si="2012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13">SUM(AEB26:AEG26)</f>
        <v>722</v>
      </c>
      <c r="AEI26" s="68">
        <f t="shared" ref="AEI26:AEI29" si="2014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5">SUM(AEJ26:AEO26)</f>
        <v>919</v>
      </c>
      <c r="AEQ26" s="68">
        <f t="shared" ref="AEQ26:AEQ29" si="2016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7">SUM(AER26:AEW26)</f>
        <v>1100</v>
      </c>
      <c r="AEY26" s="68">
        <f t="shared" ref="AEY26:AEY29" si="2018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9">SUM(AEZ26:AFE26)</f>
        <v>469</v>
      </c>
      <c r="AFG26" s="68">
        <f t="shared" ref="AFG26:AFG29" si="2020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21">SUM(AFH26:AFM26)</f>
        <v>330</v>
      </c>
      <c r="AFO26" s="68">
        <f t="shared" ref="AFO26:AFO29" si="2022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23">SUM(AFP26:AFU26)</f>
        <v>990</v>
      </c>
      <c r="AFW26" s="68">
        <f t="shared" ref="AFW26:AFW29" si="2024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5">SUM(AFX26:AGC26)</f>
        <v>0</v>
      </c>
      <c r="AGE26" s="68">
        <f t="shared" ref="AGE26:AGE29" si="2026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7">SUM(AGF26:AGK26)</f>
        <v>1373</v>
      </c>
      <c r="AGM26" s="68">
        <f t="shared" ref="AGM26:AGM29" si="2028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9">SUM(AGN26:AGS26)</f>
        <v>660</v>
      </c>
      <c r="AGU26" s="43">
        <f t="shared" ref="AGU26:AGU29" si="2030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31">SUM(AGV26:AHA26)</f>
        <v>0</v>
      </c>
      <c r="AHC26" s="43">
        <f t="shared" ref="AHC26:AHC29" si="2032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33">SUM(AHD26:AHI26)</f>
        <v>876</v>
      </c>
      <c r="AHK26" s="43">
        <f t="shared" ref="AHK26:AHK29" si="2034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5">SUM(AHL26:AHQ26)</f>
        <v>752</v>
      </c>
      <c r="AHS26" s="68">
        <f t="shared" ref="AHS26:AHS29" si="2036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7">SUM(AHT26:AHY26)</f>
        <v>839</v>
      </c>
      <c r="AIA26" s="68">
        <f t="shared" ref="AIA26:AIA29" si="2038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9">SUM(AIB26:AIG26)</f>
        <v>220</v>
      </c>
      <c r="AII26" s="68">
        <f t="shared" ref="AII26:AII29" si="2040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41">SUM(AIJ26:AIO26)</f>
        <v>440</v>
      </c>
      <c r="AIQ26" s="68">
        <f t="shared" ref="AIQ26:AIQ29" si="2042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43">SUM(AIR26:AIW26)</f>
        <v>440</v>
      </c>
      <c r="AIY26" s="68">
        <f t="shared" ref="AIY26:AIY29" si="2044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5">SUM(AIZ26:AJE26)</f>
        <v>440</v>
      </c>
      <c r="AJG26" s="68">
        <f t="shared" ref="AJG26:AJG29" si="2046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7">SUM(AJH26:AJM26)</f>
        <v>333</v>
      </c>
      <c r="AJO26" s="43">
        <f t="shared" ref="AJO26:AJO29" si="2048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9">SUM(AJP26:AJU26)</f>
        <v>646</v>
      </c>
      <c r="AJW26" s="43">
        <f t="shared" ref="AJW26:AJW29" si="2050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51">SUM(AJX26:AKC26)</f>
        <v>221</v>
      </c>
      <c r="AKE26" s="43">
        <f t="shared" ref="AKE26:AKE29" si="2052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53">SUM(AKF26:AKK26)</f>
        <v>565</v>
      </c>
      <c r="AKM26" s="43">
        <f t="shared" ref="AKM26:AKM29" si="2054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5">SUM(AKN26:AKS26)</f>
        <v>877</v>
      </c>
      <c r="AKU26" s="43">
        <f t="shared" ref="AKU26:AKU29" si="2056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7">SUM(AKV26:ALA26)</f>
        <v>432</v>
      </c>
      <c r="ALC26" s="43">
        <f t="shared" ref="ALC26:ALC29" si="2058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9">SUM(ALD26:ALI26)</f>
        <v>660</v>
      </c>
      <c r="ALK26" s="43">
        <f t="shared" ref="ALK26:ALK29" si="2060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61">SUM(ALL26:ALQ26)</f>
        <v>220</v>
      </c>
      <c r="ALS26" s="68">
        <f t="shared" ref="ALS26:ALS29" si="2062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63">SUM(ALT26:ALY26)</f>
        <v>220</v>
      </c>
      <c r="AMA26" s="68">
        <f t="shared" ref="AMA26:AMA29" si="2064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5">SUM(AMB26:AMG26)</f>
        <v>990</v>
      </c>
      <c r="AMI26" s="68">
        <f t="shared" ref="AMI26:AMI29" si="2066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7">SUM(AMJ26:AMO26)</f>
        <v>660</v>
      </c>
      <c r="AMQ26" s="68">
        <f t="shared" ref="AMQ26:AMQ29" si="2068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9">SUM(AMR26:AMW26)</f>
        <v>0</v>
      </c>
      <c r="AMY26" s="68">
        <f t="shared" ref="AMY26:AMY29" si="2070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71">SUM(AMZ26:ANE26)</f>
        <v>440</v>
      </c>
      <c r="ANG26" s="68">
        <f t="shared" ref="ANG26:ANG29" si="2072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73">SUM(ANH26:ANM26)</f>
        <v>835</v>
      </c>
      <c r="ANO26" s="68">
        <f t="shared" ref="ANO26:ANO29" si="2074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5">SUM(ANP26:ANU26)</f>
        <v>440</v>
      </c>
      <c r="ANW26" s="68">
        <f t="shared" ref="ANW26:ANW29" si="2076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7">SUM(ANX26:AOC26)</f>
        <v>550</v>
      </c>
      <c r="AOE26" s="68">
        <f t="shared" ref="AOE26:AOE29" si="2078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9">SUM(AOF26:AOK26)</f>
        <v>880</v>
      </c>
      <c r="AOM26" s="68">
        <f t="shared" ref="AOM26:AOM29" si="2080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81">SUM(AON26:AOS26)</f>
        <v>215</v>
      </c>
      <c r="AOU26" s="68">
        <f t="shared" ref="AOU26:AOU29" si="2082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83">SUM(AOV26:APA26)</f>
        <v>440</v>
      </c>
      <c r="APC26" s="68">
        <f t="shared" ref="APC26:APC29" si="2084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5">SUM(APD26:API26)</f>
        <v>440</v>
      </c>
      <c r="APK26" s="68">
        <f t="shared" ref="APK26:APK29" si="2086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7">SUM(APL26:APQ26)</f>
        <v>964</v>
      </c>
      <c r="APS26" s="68">
        <f t="shared" ref="APS26:APS29" si="2088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9">SUM(APT26:APY26)</f>
        <v>440</v>
      </c>
      <c r="AQA26" s="68">
        <f t="shared" ref="AQA26:AQA29" si="2090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91">SUM(AQB26:AQG26)</f>
        <v>0</v>
      </c>
      <c r="AQI26" s="68">
        <f t="shared" ref="AQI26:AQI29" si="2092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93">SUM(AQJ26:AQO26)</f>
        <v>0</v>
      </c>
      <c r="AQQ26" s="43">
        <f t="shared" ref="AQQ26:AQQ29" si="2094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5">SUM(AQR26:AQW26)</f>
        <v>199</v>
      </c>
      <c r="AQY26" s="43">
        <f t="shared" ref="AQY26:AQY29" si="2096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7">SUM(AQZ26:ARE26)</f>
        <v>443</v>
      </c>
      <c r="ARG26" s="43">
        <f t="shared" ref="ARG26:ARG29" si="2098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9">SUM(ARH26:ARM26)</f>
        <v>330</v>
      </c>
      <c r="ARO26" s="43">
        <f t="shared" ref="ARO26:ARO29" si="2100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101">SUM(ARP26:ARU26)</f>
        <v>220</v>
      </c>
      <c r="ARW26" s="43">
        <f t="shared" ref="ARW26:ARW29" si="2102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103">SUM(ARX26:ASC26)</f>
        <v>110</v>
      </c>
      <c r="ASE26" s="43">
        <f t="shared" ref="ASE26:ASE29" si="2104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5">SUM(ASF26:ASK26)</f>
        <v>660</v>
      </c>
      <c r="ASM26" s="43">
        <f t="shared" ref="ASM26:ASM29" si="2106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7">SUM(ASN26:ASS26)</f>
        <v>0</v>
      </c>
      <c r="ASU26" s="43">
        <f t="shared" ref="ASU26:ASU29" si="2108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9">SUM(ASV26:ATA26)</f>
        <v>220</v>
      </c>
      <c r="ATC26" s="43">
        <f t="shared" ref="ATC26:ATC29" si="2110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11">SUM(ATD26:ATI26)</f>
        <v>440</v>
      </c>
      <c r="ATK26" s="43">
        <f t="shared" ref="ATK26:ATK29" si="2112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13">SUM(ATL26:ATQ26)</f>
        <v>330</v>
      </c>
      <c r="ATS26" s="43">
        <f t="shared" ref="ATS26:ATS29" si="2114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5">SUM(ATT26:ATY26)</f>
        <v>245</v>
      </c>
      <c r="AUA26" s="43">
        <f t="shared" ref="AUA26:AUA29" si="2116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7">SUM(AUB26:AUG26)</f>
        <v>0</v>
      </c>
      <c r="AUI26" s="43">
        <f t="shared" ref="AUI26:AUI29" si="2118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9">SUM(AUJ26:AUO26)</f>
        <v>0</v>
      </c>
      <c r="AUQ26" s="43">
        <f t="shared" ref="AUQ26:AUQ29" si="2120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21">SUM(AUR26:AUW26)</f>
        <v>110</v>
      </c>
      <c r="AUY26" s="43">
        <f t="shared" ref="AUY26:AUY29" si="2122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23">SUM(AUZ26:AVE26)</f>
        <v>880</v>
      </c>
      <c r="AVG26" s="43">
        <f t="shared" ref="AVG26:AVG29" si="2124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5">SUM(AVH26:AVM26)</f>
        <v>0</v>
      </c>
      <c r="AVO26" s="43">
        <f t="shared" ref="AVO26:AVO29" si="2126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7">SUM(AVP26:AVU26)</f>
        <v>316</v>
      </c>
      <c r="AVW26" s="43">
        <f t="shared" ref="AVW26:AVW29" si="2128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9">SUM(AVX26:AWC26)</f>
        <v>220</v>
      </c>
      <c r="AWE26" s="43">
        <f t="shared" ref="AWE26:AWE29" si="2130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31">SUM(AWF26:AWK26)</f>
        <v>224</v>
      </c>
      <c r="AWM26" s="43">
        <f t="shared" ref="AWM26:AWM29" si="2132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33">SUM(AWN26:AWS26)</f>
        <v>392</v>
      </c>
      <c r="AWU26" s="43">
        <f t="shared" ref="AWU26:AWU29" si="2134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5">SUM(AWV26:AXA26)</f>
        <v>222</v>
      </c>
      <c r="AXC26" s="43">
        <f t="shared" ref="AXC26:AXC29" si="2136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7">SUM(AXD26:AXI26)</f>
        <v>0</v>
      </c>
      <c r="AXK26" s="43">
        <f t="shared" ref="AXK26:AXK29" si="2138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9">SUM(AXL26:AXP26)</f>
        <v>801</v>
      </c>
      <c r="AXS26" s="43">
        <f t="shared" ref="AXS26:AXS29" si="2140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41">SUM(AXT26:AXY26)</f>
        <v>500</v>
      </c>
      <c r="AYA26" s="43">
        <f t="shared" ref="AYA26:AYA29" si="2142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43">SUM(AYB26:AYG26)</f>
        <v>441</v>
      </c>
      <c r="AYI26" s="43">
        <f t="shared" ref="AYI26:AYI29" si="2144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5">SUM(AYJ26:AYO26)</f>
        <v>0</v>
      </c>
      <c r="AYQ26" s="43">
        <f t="shared" ref="AYQ26:AYQ29" si="2146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7">SUM(AYR26:AYW26)</f>
        <v>110</v>
      </c>
      <c r="AYY26" s="43">
        <f t="shared" ref="AYY26:AYY29" si="2148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9">SUM(AYZ26:AZE26)</f>
        <v>110</v>
      </c>
      <c r="AZG26" s="43">
        <f t="shared" ref="AZG26:AZG29" si="2150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51">SUM(AZH26:AZM26)</f>
        <v>110</v>
      </c>
      <c r="AZO26" s="43">
        <f t="shared" ref="AZO26:AZO29" si="2152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53">SUM(AZP26:AZU26)</f>
        <v>0</v>
      </c>
      <c r="AZW26" s="43">
        <f t="shared" ref="AZW26:AZW29" si="2154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5">SUM(AZX26:BAC26)</f>
        <v>325</v>
      </c>
      <c r="BAE26" s="43">
        <f t="shared" ref="BAE26:BAE29" si="2156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7">SUM(BAF26:BAK26)</f>
        <v>214</v>
      </c>
      <c r="BAM26" s="43">
        <f t="shared" ref="BAM26:BAM29" si="2158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9">SUM(BAN26:BAS26)</f>
        <v>206</v>
      </c>
      <c r="BAU26" s="43">
        <f t="shared" ref="BAU26:BAU29" si="2160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61">SUM(BAV26:BBA26)</f>
        <v>447</v>
      </c>
      <c r="BBC26" s="43">
        <f t="shared" ref="BBC26:BBC29" si="2162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63">SUM(BBD26:BBI26)</f>
        <v>332</v>
      </c>
      <c r="BBK26" s="43">
        <f t="shared" ref="BBK26:BBK29" si="2164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5">SUM(BBL26:BBQ26)</f>
        <v>220</v>
      </c>
      <c r="BBS26" s="43">
        <f t="shared" ref="BBS26:BBS29" si="2166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7">SUM(BBT26:BBY26)</f>
        <v>330</v>
      </c>
      <c r="BCA26" s="43">
        <f t="shared" ref="BCA26:BCA29" si="2168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9">SUM(BCB26:BCG26)</f>
        <v>543</v>
      </c>
      <c r="BCI26" s="43">
        <f t="shared" ref="BCI26:BCI29" si="2170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71">SUM(BCJ26:BCO26)</f>
        <v>0</v>
      </c>
      <c r="BCQ26" s="43">
        <f t="shared" ref="BCQ26:BCQ29" si="2172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73">SUM(BCR26:BCW26)</f>
        <v>228</v>
      </c>
      <c r="BCY26" s="43">
        <f t="shared" ref="BCY26:BCY29" si="2174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5">SUM(BCZ26:BDE26)</f>
        <v>217</v>
      </c>
      <c r="BDG26" s="43">
        <f t="shared" ref="BDG26:BDG29" si="2176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7">SUM(BDH26:BDM26)</f>
        <v>110</v>
      </c>
      <c r="BDO26" s="101">
        <f t="shared" ref="BDO26:BDO29" si="2178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9">SUM(BDP26:BDU26)</f>
        <v>330</v>
      </c>
      <c r="BDW26" s="101">
        <f t="shared" ref="BDW26:BDW29" si="2180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81">SUM(BDX26:BEC26)</f>
        <v>220</v>
      </c>
      <c r="BEE26" s="43">
        <f t="shared" ref="BEE26:BEE29" si="2182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83">SUM(BEF26:BEK26)</f>
        <v>330</v>
      </c>
      <c r="BEM26" s="43">
        <f t="shared" ref="BEM26:BEM29" si="2184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5">SUM(BEN26:BES26)</f>
        <v>0</v>
      </c>
      <c r="BEU26" s="43">
        <f t="shared" ref="BEU26:BEU29" si="2186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7">SUM(BEV26:BFA26)</f>
        <v>230</v>
      </c>
      <c r="BFC26" s="43">
        <f t="shared" ref="BFC26:BFC29" si="2188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9">SUM(BFD26:BFI26)</f>
        <v>223</v>
      </c>
      <c r="BFK26" s="43">
        <f t="shared" ref="BFK26:BFK29" si="2190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91">SUM(BFL26:BFQ26)</f>
        <v>306</v>
      </c>
      <c r="BFS26" s="43">
        <f t="shared" ref="BFS26:BFS29" si="2192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93">SUM(BFT26:BFY26)</f>
        <v>220</v>
      </c>
      <c r="BGA26" s="43">
        <f t="shared" ref="BGA26:BGA29" si="2194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5">SUM(BGB26:BGG26)</f>
        <v>0</v>
      </c>
      <c r="BGI26" s="43">
        <f t="shared" ref="BGI26:BGI29" si="2196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7">SUM(BGJ26:BGO26)</f>
        <v>160</v>
      </c>
      <c r="BGQ26" s="43">
        <f t="shared" ref="BGQ26:BGQ29" si="2198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9">SUM(BGR26:BGW26)</f>
        <v>161</v>
      </c>
      <c r="BGY26" s="43">
        <f t="shared" ref="BGY26:BGY29" si="2200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201">SUM(BGZ26:BHE26)</f>
        <v>306</v>
      </c>
      <c r="BHG26" s="43">
        <f t="shared" ref="BHG26:BHG29" si="2202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203">SUM(BHH26:BHM26)</f>
        <v>0</v>
      </c>
      <c r="BHO26" s="43">
        <f t="shared" ref="BHO26:BHO29" si="2204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5">SUM(BHP26:BHU26)</f>
        <v>242</v>
      </c>
      <c r="BHW26" s="43">
        <f t="shared" ref="BHW26:BHW29" si="2206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7">SUM(BHX26:BIC26)</f>
        <v>0</v>
      </c>
      <c r="BIE26" s="43">
        <f t="shared" ref="BIE26:BIE29" si="2208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9">SUM(BIF26:BIK26)</f>
        <v>0</v>
      </c>
      <c r="BIM26" s="43">
        <f t="shared" ref="BIM26:BIM29" si="2210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11">SUM(BIN26:BIS26)</f>
        <v>197</v>
      </c>
      <c r="BIU26" s="43">
        <f t="shared" ref="BIU26:BIU29" si="2212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13">SUM(BIV26:BJA26)</f>
        <v>220</v>
      </c>
      <c r="BJC26" s="43">
        <f t="shared" ref="BJC26:BJC29" si="2214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5">SUM(BJD26:BJI26)</f>
        <v>108</v>
      </c>
      <c r="BJK26" s="43">
        <f t="shared" ref="BJK26:BJK29" si="2216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7">SUM(BJL26:BJQ26)</f>
        <v>108</v>
      </c>
      <c r="BJS26" s="43">
        <f t="shared" ref="BJS26:BJS29" si="2218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9">SUM(BJT26:BJY26)</f>
        <v>110</v>
      </c>
      <c r="BKA26" s="43">
        <f t="shared" ref="BKA26:BKA29" si="2220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21">SUM(BKB26:BKG26)</f>
        <v>348</v>
      </c>
      <c r="BKI26" s="43">
        <f t="shared" ref="BKI26:BKI29" si="2222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23">SUM(BKJ26:BKO26)</f>
        <v>0</v>
      </c>
      <c r="BKQ26" s="43">
        <f t="shared" ref="BKQ26:BKQ29" si="2224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5">SUM(BKR26:BKW26)</f>
        <v>110</v>
      </c>
      <c r="BKY26" s="43">
        <f t="shared" ref="BKY26:BKY29" si="2226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7">SUM(BKZ26:BLE26)</f>
        <v>211</v>
      </c>
      <c r="BLG26" s="43">
        <f t="shared" ref="BLG26:BLG29" si="2228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9">SUM(BLH26:BLM26)</f>
        <v>223</v>
      </c>
      <c r="BLO26" s="68">
        <f t="shared" ref="BLO26:BLO29" si="2230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31">SUM(BLP26:BLU26)</f>
        <v>111</v>
      </c>
      <c r="BLW26" s="68">
        <f t="shared" ref="BLW26:BLW29" si="2232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33">SUM(BLX26:BMC26)</f>
        <v>220</v>
      </c>
      <c r="BME26" s="43">
        <f t="shared" ref="BME26:BME29" si="2234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5">SUM(BMF26:BMK26)</f>
        <v>110</v>
      </c>
      <c r="BMM26" s="43">
        <f t="shared" ref="BMM26:BMM29" si="2236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7">SUM(BMN26:BMS26)</f>
        <v>222</v>
      </c>
      <c r="BMU26" s="43">
        <f t="shared" ref="BMU26:BMU29" si="2238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9">SUM(BMV26:BNA26)</f>
        <v>277</v>
      </c>
      <c r="BNC26" s="43">
        <f t="shared" ref="BNC26:BNC29" si="2240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41">SUM(BND26:BNI26)</f>
        <v>230</v>
      </c>
      <c r="BNK26" s="184">
        <f t="shared" ref="BNK26:BNK29" si="2242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43">SUM(BNL26:BNQ26)</f>
        <v>220</v>
      </c>
      <c r="BNS26" s="211">
        <f t="shared" ref="BNS26:BNS29" si="2244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5">SUM(BNT26:BNY26)</f>
        <v>108</v>
      </c>
      <c r="BOA26" s="184">
        <f t="shared" ref="BOA26:BOA29" si="2246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7">SUM(BOB26:BOG26)</f>
        <v>0</v>
      </c>
      <c r="BOI26" s="68">
        <f t="shared" ref="BOI26:BOI29" si="2248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9">SUM(BOJ26:BOO26)</f>
        <v>218</v>
      </c>
      <c r="BOQ26" s="68">
        <f t="shared" ref="BOQ26:BOQ29" si="2250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51">SUM(BOR26:BOW26)</f>
        <v>199</v>
      </c>
      <c r="BOY26" s="68">
        <f t="shared" ref="BOY26:BOY29" si="2252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53">SUM(BOZ26:BPE26)</f>
        <v>331</v>
      </c>
      <c r="BPG26" s="68">
        <f t="shared" ref="BPG26:BPG29" si="2254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5">SUM(BPH26:BPM26)</f>
        <v>0</v>
      </c>
      <c r="BPO26" s="68">
        <f t="shared" ref="BPO26:BPO29" si="2256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7">SUM(BPP26:BPU26)</f>
        <v>212</v>
      </c>
      <c r="BPW26" s="68">
        <f t="shared" ref="BPW26:BPW29" si="2258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9">SUM(BPX26:BQC26)</f>
        <v>0</v>
      </c>
      <c r="BQE26" s="68">
        <f t="shared" ref="BQE26:BQE29" si="2260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61">SUM(BQF26:BQK26)</f>
        <v>220</v>
      </c>
      <c r="BQM26" s="68">
        <f t="shared" ref="BQM26:BQM29" si="2262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63">SUM(BQN26:BQS26)</f>
        <v>316</v>
      </c>
      <c r="BQU26" s="68">
        <f t="shared" ref="BQU26:BQU29" si="2264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5">SUM(BQV26:BRA26)</f>
        <v>110</v>
      </c>
      <c r="BRC26" s="68">
        <f t="shared" ref="BRC26:BRC29" si="2266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7">SUM(BRD26:BRI26)</f>
        <v>431</v>
      </c>
      <c r="BRK26" s="68">
        <f t="shared" ref="BRK26:BRK29" si="2268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9">SUM(BRL26:BRQ26)</f>
        <v>453</v>
      </c>
      <c r="BRS26" s="68">
        <f t="shared" ref="BRS26:BRS29" si="2270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71">SUM(BRT26:BRY26)</f>
        <v>330</v>
      </c>
      <c r="BSA26" s="68">
        <f t="shared" ref="BSA26:BSA29" si="2272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73">SUM(BSB26:BSG26)</f>
        <v>330</v>
      </c>
      <c r="BSI26" s="68">
        <f t="shared" ref="BSI26:BSI29" si="2274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5">SUM(BSJ26:BSO26)</f>
        <v>340</v>
      </c>
      <c r="BSQ26" s="68">
        <f t="shared" ref="BSQ26:BSQ29" si="2276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7">SUM(BSR26:BSW26)</f>
        <v>0</v>
      </c>
      <c r="BSY26" s="68">
        <f t="shared" ref="BSY26:BSY29" si="2278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9">SUM(BSZ26:BTE26)</f>
        <v>108</v>
      </c>
      <c r="BTG26" s="68">
        <f t="shared" ref="BTG26:BTG29" si="2280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81">SUM(BTH26:BTM26)</f>
        <v>200</v>
      </c>
      <c r="BTO26" s="68">
        <f t="shared" ref="BTO26:BTO29" si="2282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83">SUM(BTP26:BTU26)</f>
        <v>610</v>
      </c>
      <c r="BTW26" s="68">
        <f t="shared" ref="BTW26:BTW29" si="2284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5">SUM(BTX26:BUC26)</f>
        <v>408</v>
      </c>
      <c r="BUE26" s="68">
        <f t="shared" ref="BUE26:BUE29" si="2286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7">SUM(BUF26:BUK26)</f>
        <v>240</v>
      </c>
      <c r="BUM26" s="68">
        <f t="shared" ref="BUM26:BUM29" si="2288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9">SUM(BUN26:BUS26)</f>
        <v>220</v>
      </c>
      <c r="BUU26" s="68">
        <f t="shared" ref="BUU26:BUU29" si="2290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91">SUM(BUV26:BVA26)</f>
        <v>107</v>
      </c>
      <c r="BVC26" s="68">
        <f t="shared" ref="BVC26:BVC29" si="2292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93">SUM(BVD26:BVI26)</f>
        <v>501</v>
      </c>
      <c r="BVK26" s="68">
        <f t="shared" ref="BVK26:BVK29" si="2294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5">SUM(BVL26:BVQ26)</f>
        <v>110</v>
      </c>
      <c r="BVS26" s="68">
        <f t="shared" ref="BVS26:BVS29" si="2296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7">SUM(BVT26:BVY26)</f>
        <v>264</v>
      </c>
      <c r="BWA26" s="68">
        <f t="shared" ref="BWA26:BWA29" si="2298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9">SUM(BWB26:BWG26)</f>
        <v>0</v>
      </c>
      <c r="BWI26" s="68">
        <f t="shared" ref="BWI26:BWI29" si="2300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301">SUM(BWJ26:BWO26)</f>
        <v>344</v>
      </c>
      <c r="BWQ26" s="68">
        <f t="shared" ref="BWQ26:BWQ29" si="2302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303">SUM(BWR26:BWW26)</f>
        <v>0</v>
      </c>
      <c r="BWY26" s="68">
        <f t="shared" ref="BWY26:BWY29" si="2304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5">SUM(BWZ26:BXE26)</f>
        <v>160</v>
      </c>
      <c r="BXG26" s="68">
        <f t="shared" ref="BXG26:BXG29" si="2306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7">SUM(BXH26:BXM26)</f>
        <v>0</v>
      </c>
      <c r="BXO26" s="68">
        <f t="shared" ref="BXO26:BXO29" si="2308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9">SUM(BXP26:BXU26)</f>
        <v>311</v>
      </c>
      <c r="BXW26" s="68">
        <f t="shared" ref="BXW26:BXW29" si="2310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11">SUM(BXX26:BYC26)</f>
        <v>0</v>
      </c>
      <c r="BYE26" s="68">
        <f t="shared" ref="BYE26:BYE29" si="2312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13">SUM(BYF26:BYK26)</f>
        <v>220</v>
      </c>
      <c r="BYM26" s="68">
        <f t="shared" ref="BYM26:BYM29" si="2314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5">SUM(BYN26:BYS26)</f>
        <v>0</v>
      </c>
      <c r="BYU26" s="68">
        <f t="shared" ref="BYU26:BYU29" si="2316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7">SUM(BYV26:BZA26)</f>
        <v>295</v>
      </c>
      <c r="BZC26" s="68">
        <f t="shared" ref="BZC26:BZC29" si="2318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9">SUM(BZD26:BZI26)</f>
        <v>0</v>
      </c>
      <c r="BZK26" s="68">
        <f t="shared" ref="BZK26:BZK29" si="2320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21">SUM(BZL26:BZQ26)</f>
        <v>337</v>
      </c>
      <c r="BZS26" s="68">
        <f t="shared" ref="BZS26:BZS29" si="2322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23">SUM(BZT26:BZY26)</f>
        <v>0</v>
      </c>
      <c r="CAA26" s="68">
        <f t="shared" ref="CAA26:CAA29" si="2324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5">SUM(CAB26:CAG26)</f>
        <v>219</v>
      </c>
      <c r="CAI26" s="68">
        <f t="shared" ref="CAI26:CAI29" si="2326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7">SUM(CAJ26:CAO26)</f>
        <v>229</v>
      </c>
      <c r="CAQ26" s="68">
        <f t="shared" ref="CAQ26:CAQ29" si="2328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9">SUM(CAR26:CAW26)</f>
        <v>0</v>
      </c>
      <c r="CAY26" s="68">
        <f t="shared" ref="CAY26:CAY29" si="2330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31">SUM(CAZ26:CBE26)</f>
        <v>229</v>
      </c>
      <c r="CBG26" s="68">
        <f t="shared" ref="CBG26:CBG29" si="2332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33">SUM(CBH26:CBM26)</f>
        <v>110</v>
      </c>
      <c r="CBO26" s="68">
        <f t="shared" ref="CBO26:CBO29" si="2334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5">SUM(CBP26:CBU26)</f>
        <v>0</v>
      </c>
      <c r="CBW26" s="68">
        <f t="shared" ref="CBW26:CBW29" si="2336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7">SUM(CBX26:CCC26)</f>
        <v>100</v>
      </c>
      <c r="CCE26" s="68">
        <f t="shared" ref="CCE26:CCE29" si="2338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9">SUM(CCF26:CCK26)</f>
        <v>111</v>
      </c>
      <c r="CCM26" s="68">
        <f t="shared" ref="CCM26:CCM29" si="2340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41">SUM(CCN26:CCS26)</f>
        <v>0</v>
      </c>
      <c r="CCU26" s="68">
        <f t="shared" ref="CCU26:CCU29" si="2342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43">SUM(CCV26:CDA26)</f>
        <v>193</v>
      </c>
      <c r="CDC26" s="68">
        <f t="shared" ref="CDC26:CDC29" si="2344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5">SUM(CDD26:CDI26)</f>
        <v>0</v>
      </c>
      <c r="CDK26" s="68">
        <f t="shared" ref="CDK26:CDK29" si="2346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7">SUM(CDL26:CDQ26)</f>
        <v>170</v>
      </c>
      <c r="CDS26" s="68">
        <f t="shared" ref="CDS26:CDS29" si="2348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9">SUM(CDT26:CDY26)</f>
        <v>104</v>
      </c>
      <c r="CEA26" s="68">
        <f t="shared" ref="CEA26:CEA29" si="2350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51">SUM(CEB26:CEG26)</f>
        <v>219</v>
      </c>
      <c r="CEI26" s="184">
        <f t="shared" ref="CEI26:CEI29" si="2352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53">SUM(CEJ26:CEO26)</f>
        <v>217</v>
      </c>
      <c r="CEQ26" s="68">
        <f t="shared" ref="CEQ26:CEQ29" si="2354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5">SUM(CEX26:CFC26)</f>
        <v>0</v>
      </c>
      <c r="CFE26" s="68">
        <f t="shared" ref="CFE26:CFE29" si="2356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7">SUM(CFF26:CFK26)</f>
        <v>109</v>
      </c>
      <c r="CFM26" s="68">
        <f t="shared" ref="CFM26:CFM29" si="2358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9">SUM(CFN26:CFS26)</f>
        <v>234</v>
      </c>
      <c r="CFU26" s="68">
        <f t="shared" ref="CFU26:CFU29" si="2360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61">SUM(CFV26:CGA26)</f>
        <v>0</v>
      </c>
      <c r="CGC26" s="68">
        <f t="shared" ref="CGC26:CGC29" si="2362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63">SUM(CGD26:CGI26)</f>
        <v>113</v>
      </c>
      <c r="CGK26" s="68">
        <f t="shared" ref="CGK26:CGK29" si="2364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5">SUM(CGL26:CGQ26)</f>
        <v>100</v>
      </c>
      <c r="CGS26" s="68">
        <f t="shared" ref="CGS26:CGS29" si="2366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7">SUM(CGT26:CGY26)</f>
        <v>0</v>
      </c>
      <c r="CHA26" s="68">
        <f t="shared" ref="CHA26:CHA29" si="2368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9">SUM(CHB26:CHG26)</f>
        <v>160</v>
      </c>
      <c r="CHI26" s="68">
        <f t="shared" ref="CHI26:CHI29" si="2370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71">SUM(CHJ26:CHO26)</f>
        <v>40</v>
      </c>
      <c r="CHQ26" s="68">
        <f t="shared" ref="CHQ26:CHQ29" si="2372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73">SUM(CHR26:CHW26)</f>
        <v>364</v>
      </c>
      <c r="CHY26" s="68">
        <f t="shared" ref="CHY26:CHY29" si="2374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5">SUM(CHZ26:CIE26)</f>
        <v>0</v>
      </c>
      <c r="CIG26" s="68">
        <f t="shared" ref="CIG26:CIG29" si="2376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7">SUM(CIH26:CIM26)</f>
        <v>0</v>
      </c>
      <c r="CIO26" s="68">
        <f t="shared" ref="CIO26:CIO29" si="2378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9">SUM(CIP26:CIU26)</f>
        <v>111</v>
      </c>
      <c r="CIW26" s="68">
        <f t="shared" ref="CIW26:CIW29" si="2380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81">SUM(CIX26:CJC26)</f>
        <v>210</v>
      </c>
      <c r="CJE26" s="43">
        <f t="shared" ref="CJE26:CJE29" si="2382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83">SUM(CJF26:CJK26)</f>
        <v>0</v>
      </c>
      <c r="CJM26" s="43">
        <f t="shared" ref="CJM26:CJM29" si="2384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5">SUM(CJN26:CJS26)</f>
        <v>220</v>
      </c>
      <c r="CJU26" s="43">
        <f t="shared" ref="CJU26:CJU29" si="2386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7">SUM(CJV26:CKA26)</f>
        <v>0</v>
      </c>
      <c r="CKC26" s="43">
        <f t="shared" ref="CKC26:CKC29" si="2388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9">SUM(CKD26:CKI26)</f>
        <v>110</v>
      </c>
      <c r="CKK26" s="43">
        <f t="shared" ref="CKK26:CKK29" si="2390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91">SUM(CKL26:CKQ26)</f>
        <v>0</v>
      </c>
      <c r="CKS26" s="43">
        <f t="shared" ref="CKS26:CKS29" si="2392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93">SUM(CKT26:CKY26)</f>
        <v>0</v>
      </c>
      <c r="CLA26" s="43">
        <f t="shared" ref="CLA26:CLA29" si="2394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5">SUM(CLB26:CLG26)</f>
        <v>0</v>
      </c>
      <c r="CLI26" s="43">
        <f t="shared" ref="CLI26:CLI29" si="2396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7">SUM(CLJ26:CLO26)</f>
        <v>150</v>
      </c>
      <c r="CLQ26" s="43">
        <f t="shared" ref="CLQ26:CLQ29" si="2398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9">SUM(CLR26:CLW26)</f>
        <v>0</v>
      </c>
      <c r="CLY26" s="43">
        <f t="shared" ref="CLY26:CLY29" si="2400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401">SUM(CLZ26:CME26)</f>
        <v>120</v>
      </c>
      <c r="CMG26" s="43">
        <f t="shared" ref="CMG26:CMG29" si="2402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403">SUM(CMH26:CMM26)</f>
        <v>110</v>
      </c>
      <c r="CMO26" s="43">
        <f t="shared" ref="CMO26:CMO29" si="2404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5">SUM(CMP26:CMU26)</f>
        <v>0</v>
      </c>
      <c r="CMW26" s="43">
        <f t="shared" ref="CMW26:CMW29" si="2406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7">SUM(CMX26:CNC26)</f>
        <v>210</v>
      </c>
      <c r="CNE26" s="68">
        <f t="shared" ref="CNE26:CNE29" si="2408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9">SUM(CNF26:CNK26)</f>
        <v>0</v>
      </c>
      <c r="CNM26" s="68">
        <f t="shared" ref="CNM26:CNM29" si="2410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11">SUM(CNN26:CNS26)</f>
        <v>0</v>
      </c>
      <c r="CNU26" s="68">
        <f t="shared" ref="CNU26:CNU29" si="2412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13">SUM(CNV26:COA26)</f>
        <v>51</v>
      </c>
      <c r="COC26" s="68">
        <f t="shared" ref="COC26:COC29" si="2414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5">SUM(COD26:COI26)</f>
        <v>50</v>
      </c>
      <c r="COK26" s="68">
        <f t="shared" ref="COK26:COK29" si="2416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7">SUM(COL26:COQ26)</f>
        <v>158</v>
      </c>
      <c r="COS26" s="68">
        <f t="shared" ref="COS26:COS29" si="2418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9">SUM(COT26:COY26)</f>
        <v>0</v>
      </c>
      <c r="CPA26" s="68">
        <f t="shared" ref="CPA26:CPA29" si="2420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21">SUM(CPB26:CPG26)</f>
        <v>0</v>
      </c>
      <c r="CPI26" s="68">
        <f t="shared" ref="CPI26:CPI29" si="2422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23">SUM(CPJ26:CPO26)</f>
        <v>220</v>
      </c>
      <c r="CPQ26" s="68">
        <f t="shared" ref="CPQ26:CPQ29" si="2424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5">SUM(CPR26:CPW26)</f>
        <v>109</v>
      </c>
      <c r="CPY26" s="68">
        <f t="shared" ref="CPY26:CPY29" si="2426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7">SUM(CPZ26:CQE26)</f>
        <v>0</v>
      </c>
      <c r="CQG26" s="68">
        <f t="shared" ref="CQG26:CQG29" si="2428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9">SUM(CQH26:CQM26)</f>
        <v>0</v>
      </c>
      <c r="CQO26" s="43">
        <f t="shared" ref="CQO26:CQO29" si="2430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31">SUM(CQP26:CQU26)</f>
        <v>0</v>
      </c>
      <c r="CQW26" s="43">
        <f t="shared" ref="CQW26:CQW29" si="2432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33">SUM(CQX26:CRC26)</f>
        <v>30</v>
      </c>
      <c r="CRE26" s="43">
        <f t="shared" ref="CRE26:CRE29" si="2434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5">SUM(CRF26:CRK26)</f>
        <v>110</v>
      </c>
      <c r="CRM26" s="43">
        <f t="shared" ref="CRM26:CRM29" si="2436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7">SUM(CRN26:CRS26)</f>
        <v>0</v>
      </c>
      <c r="CRU26" s="43">
        <f t="shared" ref="CRU26:CRU29" si="2438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9">SUM(CRV26:CSA26)</f>
        <v>80</v>
      </c>
      <c r="CSC26" s="43">
        <f t="shared" ref="CSC26:CSC29" si="2440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41">SUM(CSD26:CSI26)</f>
        <v>0</v>
      </c>
      <c r="CSK26" s="43">
        <f t="shared" ref="CSK26:CSK29" si="2442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43">SUM(CSL26:CSQ26)</f>
        <v>220</v>
      </c>
      <c r="CSS26" s="43">
        <f t="shared" ref="CSS26:CSS29" si="2444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5">SUM(CST26:CSY26)</f>
        <v>0</v>
      </c>
      <c r="CTA26" s="43">
        <f t="shared" ref="CTA26:CTA29" si="2446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7">SUM(CTB26:CTG26)</f>
        <v>110</v>
      </c>
      <c r="CTI26" s="43">
        <f t="shared" ref="CTI26:CTI29" si="2448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9">SUM(CTJ26:CTO26)</f>
        <v>328</v>
      </c>
      <c r="CTQ26" s="68">
        <f t="shared" ref="CTQ26:CTQ29" si="2450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51">SUM(CTR26:CTW26)</f>
        <v>0</v>
      </c>
      <c r="CTY26" s="68">
        <f t="shared" ref="CTY26:CTY29" si="2452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53">SUM(CTZ26:CUE26)</f>
        <v>0</v>
      </c>
      <c r="CUG26" s="68">
        <f t="shared" ref="CUG26:CUG29" si="2454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5">SUM(CUH26:CUM26)</f>
        <v>302</v>
      </c>
      <c r="CUO26" s="68">
        <f t="shared" ref="CUO26:CUO29" si="2456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7">SUM(CUP26:CUU26)</f>
        <v>53</v>
      </c>
      <c r="CUW26" s="68">
        <f t="shared" ref="CUW26:CUW29" si="2458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9">SUM(CUX26:CVC26)</f>
        <v>0</v>
      </c>
      <c r="CVE26" s="68">
        <f t="shared" ref="CVE26:CVE29" si="2460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61">SUM(CVF26:CVK26)</f>
        <v>221</v>
      </c>
      <c r="CVM26" s="68">
        <f t="shared" ref="CVM26:CVM29" si="2462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63">SUM(CVN26:CVS26)</f>
        <v>0</v>
      </c>
      <c r="CVU26" s="68">
        <f t="shared" ref="CVU26:CVU29" si="2464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5">SUM(CVV26:CWA26)</f>
        <v>77</v>
      </c>
      <c r="CWC26" s="68">
        <f t="shared" ref="CWC26:CWC29" si="2466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7">SUM(CWD26:CWI26)</f>
        <v>110</v>
      </c>
      <c r="CWK26" s="68">
        <f t="shared" ref="CWK26:CWK29" si="2468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9">SUM(CWL26:CWQ26)</f>
        <v>189</v>
      </c>
      <c r="CWS26" s="68">
        <f t="shared" ref="CWS26:CWS29" si="2470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71">SUM(CWT26:CWY26)</f>
        <v>0</v>
      </c>
      <c r="CXA26" s="68">
        <f t="shared" ref="CXA26:CXA29" si="2472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73">SUM(CXB26:CXG26)</f>
        <v>131</v>
      </c>
      <c r="CXI26" s="68">
        <f t="shared" ref="CXI26:CXI29" si="2474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5">SUM(CXJ26:CXO26)</f>
        <v>0</v>
      </c>
      <c r="CXQ26" s="68">
        <f t="shared" ref="CXQ26:CXQ29" si="2476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7">SUM(CXR26:CXW26)</f>
        <v>204</v>
      </c>
      <c r="CXY26" s="68">
        <f t="shared" ref="CXY26:CXY29" si="2478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9">SUM(CXZ26:CYE26)</f>
        <v>0</v>
      </c>
      <c r="CYG26" s="68">
        <f t="shared" ref="CYG26:CYG29" si="2480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81">SUM(CYH26:CYM26)</f>
        <v>0</v>
      </c>
      <c r="CYO26" s="68">
        <f t="shared" ref="CYO26:CYO29" si="2482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83">SUM(CYP26:CYU26)</f>
        <v>221</v>
      </c>
      <c r="CYW26" s="68">
        <f t="shared" ref="CYW26:CYW29" si="2484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5">SUM(CYX26:CZC26)</f>
        <v>0</v>
      </c>
      <c r="CZE26" s="68">
        <f t="shared" ref="CZE26:CZE29" si="2486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3"/>
        <v>218</v>
      </c>
      <c r="CZM26" s="68">
        <f t="shared" si="1654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5"/>
        <v>0</v>
      </c>
      <c r="CZU26" s="68">
        <f t="shared" si="1656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7"/>
        <v>110</v>
      </c>
      <c r="DAC26" s="68">
        <f t="shared" si="1658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9"/>
        <v>100</v>
      </c>
      <c r="DAK26" s="68">
        <f t="shared" si="1660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61"/>
        <v>200</v>
      </c>
      <c r="DAS26" s="68">
        <f t="shared" si="1662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3"/>
        <v>0</v>
      </c>
      <c r="DBA26" s="68">
        <f t="shared" si="1664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5"/>
        <v>50</v>
      </c>
      <c r="DBI26" s="492">
        <f t="shared" si="1666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7"/>
        <v>234</v>
      </c>
      <c r="DBQ26" s="68">
        <f t="shared" si="1668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9"/>
        <v>200</v>
      </c>
      <c r="DBY26" s="68">
        <f t="shared" si="1670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71"/>
        <v>70</v>
      </c>
      <c r="DCG26" s="492">
        <f t="shared" si="1672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3"/>
        <v>0</v>
      </c>
      <c r="DCO26" s="68">
        <f t="shared" si="1674"/>
        <v>0</v>
      </c>
      <c r="DCP26" s="48"/>
      <c r="DCQ26" s="49"/>
      <c r="DCR26" s="49"/>
      <c r="DCS26" s="49"/>
      <c r="DCT26" s="49"/>
      <c r="DCU26" s="49"/>
      <c r="DCV26" s="491">
        <f t="shared" si="1675"/>
        <v>0</v>
      </c>
      <c r="DCW26" s="492">
        <f t="shared" si="1676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7"/>
        <v>100</v>
      </c>
      <c r="DDE26" s="492">
        <f t="shared" si="1678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9"/>
        <v>50</v>
      </c>
      <c r="DDM26" s="492">
        <f t="shared" si="1680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81"/>
        <v>320</v>
      </c>
      <c r="DDU26" s="68">
        <f t="shared" si="1682"/>
        <v>53.333333333333336</v>
      </c>
      <c r="DDV26" s="48"/>
      <c r="DDW26" s="49"/>
      <c r="DDX26" s="49"/>
      <c r="DDY26" s="49"/>
      <c r="DDZ26" s="49"/>
      <c r="DEA26" s="49"/>
      <c r="DEB26" s="491">
        <f t="shared" si="1683"/>
        <v>0</v>
      </c>
      <c r="DEC26" s="492">
        <f t="shared" si="1684"/>
        <v>0</v>
      </c>
      <c r="DED26" s="48"/>
      <c r="DEE26" s="49"/>
      <c r="DEF26" s="49"/>
      <c r="DEG26" s="49"/>
      <c r="DEH26" s="49"/>
      <c r="DEI26" s="49"/>
      <c r="DEJ26" s="491">
        <f t="shared" si="1685"/>
        <v>0</v>
      </c>
      <c r="DEK26" s="492">
        <f t="shared" si="1686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7"/>
        <v>439</v>
      </c>
      <c r="DES26" s="68">
        <f t="shared" si="1688"/>
        <v>73.166666666666671</v>
      </c>
      <c r="DET26" s="63"/>
      <c r="DEU26" s="64"/>
      <c r="DEV26" s="64"/>
      <c r="DEW26" s="64"/>
      <c r="DEX26" s="64"/>
      <c r="DEY26" s="64"/>
      <c r="DEZ26" s="491">
        <f t="shared" si="1689"/>
        <v>0</v>
      </c>
      <c r="DFA26" s="492">
        <f t="shared" si="1690"/>
        <v>0</v>
      </c>
      <c r="DFB26" s="82"/>
      <c r="DFC26" s="83"/>
      <c r="DFD26" s="83"/>
      <c r="DFE26" s="83"/>
      <c r="DFF26" s="83"/>
      <c r="DFG26" s="83"/>
      <c r="DFH26" s="64">
        <f t="shared" si="1691"/>
        <v>0</v>
      </c>
      <c r="DFI26" s="68">
        <f t="shared" si="1692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3"/>
        <v>0</v>
      </c>
      <c r="DFQ26" s="68">
        <f t="shared" si="1694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5"/>
        <v>100</v>
      </c>
      <c r="DFY26" s="68">
        <f t="shared" si="1696"/>
        <v>16.666666666666668</v>
      </c>
      <c r="DFZ26" s="48"/>
      <c r="DGA26" s="49"/>
      <c r="DGB26" s="49"/>
      <c r="DGC26" s="49"/>
      <c r="DGD26" s="49"/>
      <c r="DGE26" s="49"/>
      <c r="DGF26" s="64">
        <f t="shared" si="1697"/>
        <v>0</v>
      </c>
      <c r="DGG26" s="68">
        <f t="shared" si="1698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9"/>
        <v>150</v>
      </c>
      <c r="DGO26" s="68">
        <f t="shared" si="1700"/>
        <v>25</v>
      </c>
      <c r="DGP26" s="48"/>
      <c r="DGQ26" s="49"/>
      <c r="DGR26" s="49"/>
      <c r="DGS26" s="49"/>
      <c r="DGT26" s="49"/>
      <c r="DGU26" s="49"/>
      <c r="DGV26" s="64">
        <f t="shared" si="1701"/>
        <v>0</v>
      </c>
      <c r="DGW26" s="68">
        <f t="shared" si="1702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3"/>
        <v>153</v>
      </c>
      <c r="DHE26" s="68">
        <f t="shared" si="1704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5"/>
        <v>110</v>
      </c>
      <c r="DHM26" s="68">
        <f t="shared" si="1706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7"/>
        <v>49</v>
      </c>
      <c r="DHU26" s="68">
        <f t="shared" si="1708"/>
        <v>8.1666666666666661</v>
      </c>
      <c r="DHV26" s="48"/>
      <c r="DHW26" s="49"/>
      <c r="DHX26" s="49"/>
      <c r="DHY26" s="49"/>
      <c r="DHZ26" s="49"/>
      <c r="DIA26" s="49"/>
      <c r="DIB26" s="64">
        <f t="shared" si="1709"/>
        <v>0</v>
      </c>
      <c r="DIC26" s="68">
        <f t="shared" si="1710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11"/>
        <v>50</v>
      </c>
      <c r="DIK26" s="184">
        <f t="shared" si="1712"/>
        <v>8.3333333333333339</v>
      </c>
      <c r="DIL26" s="195"/>
      <c r="DIM26" s="49"/>
      <c r="DIN26" s="49"/>
      <c r="DIO26" s="49"/>
      <c r="DIP26" s="49"/>
      <c r="DIQ26" s="49"/>
      <c r="DIR26" s="64">
        <f t="shared" si="1713"/>
        <v>0</v>
      </c>
      <c r="DIS26" s="184">
        <f t="shared" si="1714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5"/>
        <v>109</v>
      </c>
      <c r="DJA26" s="68">
        <f t="shared" si="1716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7">SUM(DJB26:DJG26)</f>
        <v>100</v>
      </c>
      <c r="DJI26" s="68">
        <f t="shared" ref="DJI26:DJI29" si="2488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9">SUM(DJJ26:DJO26)</f>
        <v>101</v>
      </c>
      <c r="DJQ26" s="68">
        <f t="shared" ref="DJQ26:DJQ29" si="2490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91">SUM(DJR26:DJW26)</f>
        <v>0</v>
      </c>
      <c r="DJY26" s="68">
        <f t="shared" ref="DJY26:DJY29" si="2492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93">SUM(DJZ26:DKE26)</f>
        <v>100</v>
      </c>
      <c r="DKG26" s="68">
        <f t="shared" ref="DKG26:DKG29" si="2494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5">SUM(DKH26:DKM26)</f>
        <v>0</v>
      </c>
      <c r="DKO26" s="68">
        <f t="shared" ref="DKO26:DKO29" si="2496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7">SUM(DKP26:DKU26)</f>
        <v>0</v>
      </c>
      <c r="DKW26" s="184">
        <f t="shared" ref="DKW26:DKW29" si="2498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9">SUM(DKX26:DLC26)</f>
        <v>100</v>
      </c>
      <c r="DLE26" s="184">
        <f t="shared" ref="DLE26:DLE29" si="2500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501">SUM(DLF26:DLK26)</f>
        <v>150</v>
      </c>
      <c r="DLM26" s="68">
        <f t="shared" ref="DLM26:DLM29" si="2502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503">SUM(DLN26:DLS26)</f>
        <v>0</v>
      </c>
      <c r="DLU26" s="68">
        <f t="shared" ref="DLU26:DLU29" si="2504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5">SUM(DLV26:DMA26)</f>
        <v>0</v>
      </c>
      <c r="DMC26" s="68">
        <f t="shared" ref="DMC26:DMC29" si="2506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7">SUM(DMD26:DMI26)</f>
        <v>100</v>
      </c>
      <c r="DMK26" s="68">
        <f t="shared" ref="DMK26:DMK29" si="2508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9">SUM(DML26:DMQ26)</f>
        <v>51</v>
      </c>
      <c r="DMS26" s="68">
        <f t="shared" ref="DMS26:DMS29" si="2510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11">SUM(DMT26:DMY26)</f>
        <v>100</v>
      </c>
      <c r="DNA26" s="68">
        <f t="shared" ref="DNA26:DNA29" si="2512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13">SUM(DNB26:DNG26)</f>
        <v>100</v>
      </c>
      <c r="DNI26" s="68">
        <f t="shared" ref="DNI26:DNI29" si="2514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5">SUM(DNJ26:DNO26)</f>
        <v>0</v>
      </c>
      <c r="DNQ26" s="68">
        <f t="shared" ref="DNQ26:DNQ29" si="2516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7">SUM(DNR26:DNW26)</f>
        <v>0</v>
      </c>
      <c r="DNY26" s="68">
        <f t="shared" ref="DNY26:DNY29" si="2518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9">SUM(DNZ26:DOE26)</f>
        <v>100</v>
      </c>
      <c r="DOG26" s="68">
        <f t="shared" ref="DOG26:DOG29" si="2520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21">SUM(DOH26:DOM26)</f>
        <v>0</v>
      </c>
      <c r="DOO26" s="68">
        <f t="shared" ref="DOO26:DOO29" si="2522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23">SUM(DOP26:DOU26)</f>
        <v>100</v>
      </c>
      <c r="DOW26" s="68">
        <f t="shared" ref="DOW26:DOW29" si="2524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5">SUM(DOX26:DPC26)</f>
        <v>300</v>
      </c>
      <c r="DPE26" s="68">
        <f t="shared" ref="DPE26:DPE29" si="2526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7">SUM(DPF26:DPK26)</f>
        <v>0</v>
      </c>
      <c r="DPM26" s="68">
        <f t="shared" ref="DPM26:DPM29" si="2528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9">SUM(DPN26:DPS26)</f>
        <v>0</v>
      </c>
      <c r="DPU26" s="68">
        <f t="shared" ref="DPU26:DPU29" si="2530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31">SUM(DPV26:DQA26)</f>
        <v>0</v>
      </c>
      <c r="DQC26" s="68">
        <f t="shared" ref="DQC26:DQC29" si="2532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33">SUM(DQD26:DQI26)</f>
        <v>110</v>
      </c>
      <c r="DQK26" s="68">
        <f t="shared" ref="DQK26:DQK29" si="2534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5">SUM(DQL26:DQQ26)</f>
        <v>0</v>
      </c>
      <c r="DQS26" s="68">
        <f t="shared" ref="DQS26:DQS29" si="2536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7">SUM(DQT26:DQY26)</f>
        <v>0</v>
      </c>
      <c r="DRA26" s="68">
        <f t="shared" ref="DRA26:DRA29" si="2538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9">SUM(DRB26:DRG26)</f>
        <v>0</v>
      </c>
      <c r="DRI26" s="68">
        <f t="shared" ref="DRI26:DRI29" si="2540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41">SUM(DRJ26:DRO26)</f>
        <v>101</v>
      </c>
      <c r="DRQ26" s="68">
        <f t="shared" ref="DRQ26:DRQ29" si="2542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43">SUM(DRR26:DRW26)</f>
        <v>99</v>
      </c>
      <c r="DRY26" s="68">
        <f t="shared" ref="DRY26:DRY29" si="2544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5">SUM(DRZ26:DSE26)</f>
        <v>220</v>
      </c>
      <c r="DSG26" s="68">
        <f t="shared" ref="DSG26:DSG29" si="2546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7">SUM(DSH26:DSM26)</f>
        <v>0</v>
      </c>
      <c r="DSO26" s="68">
        <f t="shared" ref="DSO26:DSO29" si="2548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9">SUM(DSP26:DSU26)</f>
        <v>0</v>
      </c>
      <c r="DSW26" s="68">
        <f t="shared" ref="DSW26:DSW29" si="2550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51">SUM(DSX26:DTC26)</f>
        <v>0</v>
      </c>
      <c r="DTE26" s="68">
        <f t="shared" ref="DTE26:DTE29" si="2552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53">SUM(DTN26:DTS26)</f>
        <v>101</v>
      </c>
      <c r="DTU26" s="68">
        <f t="shared" ref="DTU26:DTU30" si="2554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5">SUM(DTV26:DUA26)</f>
        <v>0</v>
      </c>
      <c r="DUC26" s="68">
        <f t="shared" ref="DUC26:DUC30" si="2556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7">SUM(DUD26:DUI26)</f>
        <v>0</v>
      </c>
      <c r="DUK26" s="68">
        <f t="shared" ref="DUK26:DUK30" si="2558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9">SUM(DUL26:DUQ26)</f>
        <v>110</v>
      </c>
      <c r="DUS26" s="68">
        <f t="shared" ref="DUS26:DUS30" si="2560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61">SUM(DUT26:DUY26)</f>
        <v>0</v>
      </c>
      <c r="DVA26" s="68">
        <f t="shared" ref="DVA26:DVA30" si="2562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63">SUM(DVB26:DVG26)</f>
        <v>110</v>
      </c>
      <c r="DVI26" s="68">
        <f t="shared" ref="DVI26:DVI30" si="2564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5">SUM(DVJ26:DVO26)</f>
        <v>110</v>
      </c>
      <c r="DVQ26" s="68">
        <f t="shared" ref="DVQ26:DVQ29" si="2566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7">SUM(DVR26:DVW26)</f>
        <v>0</v>
      </c>
      <c r="DVY26" s="68">
        <f t="shared" ref="DVY26:DVY29" si="2568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9">SUM(DVZ26:DWE26)</f>
        <v>437</v>
      </c>
      <c r="DWG26" s="68">
        <f t="shared" ref="DWG26:DWG29" si="2570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71">SUM(DWH26:DWM26)</f>
        <v>0</v>
      </c>
      <c r="DWO26" s="68">
        <f t="shared" ref="DWO26:DWO29" si="2572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73">SUM(DWP26:DWU26)</f>
        <v>0</v>
      </c>
      <c r="DWW26" s="68">
        <f t="shared" ref="DWW26:DWW29" si="2574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5">SUM(DWX26:DXC26)</f>
        <v>0</v>
      </c>
      <c r="DXE26" s="68">
        <f t="shared" ref="DXE26:DXE29" si="2576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7">SUM(DXF26:DXK26)</f>
        <v>83</v>
      </c>
      <c r="DXM26" s="68">
        <f t="shared" ref="DXM26:DXM29" si="2578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9">SUM(DXN26:DXS26)</f>
        <v>0</v>
      </c>
      <c r="DXU26" s="184">
        <f t="shared" ref="DXU26:DXU29" si="2580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81">SUM(DXW26:DYB26)</f>
        <v>0</v>
      </c>
      <c r="DYD26" s="211">
        <f t="shared" ref="DYD26:DYD29" si="2582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83">SUM(DYE26:DYJ26)</f>
        <v>0</v>
      </c>
      <c r="DYL26" s="211">
        <f t="shared" ref="DYL26:DYL29" si="2584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5">SUM(DYM26:DYR26)</f>
        <v>100</v>
      </c>
      <c r="DYT26" s="211">
        <f t="shared" ref="DYT26:DYT29" si="2586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7">SUM(DYU26:DYZ26)</f>
        <v>95</v>
      </c>
      <c r="DZB26" s="211">
        <f t="shared" ref="DZB26:DZB29" si="2588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9">SUM(DZC26:DZH26)</f>
        <v>102</v>
      </c>
      <c r="DZJ26" s="211">
        <f t="shared" ref="DZJ26:DZJ29" si="2590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91">SUM(DZK26:DZP26)</f>
        <v>0</v>
      </c>
      <c r="DZR26" s="211">
        <f t="shared" ref="DZR26:DZR29" si="2592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93">SUM(DZS26:DZX26)</f>
        <v>151</v>
      </c>
      <c r="DZZ26" s="211">
        <f t="shared" ref="DZZ26:DZZ29" si="2594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5">SUM(EAA26:EAF26)</f>
        <v>71</v>
      </c>
      <c r="EAH26" s="211">
        <f t="shared" ref="EAH26:EAH29" si="2596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7">SUM(EAI26:EAN26)</f>
        <v>100</v>
      </c>
      <c r="EAP26" s="211">
        <f t="shared" ref="EAP26:EAP29" si="2598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9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4"/>
        <v>0</v>
      </c>
      <c r="EBF26" s="211">
        <f t="shared" si="1775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600">SUM(EBG26:EBL26)</f>
        <v>0</v>
      </c>
      <c r="EBN26" s="211">
        <f t="shared" ref="EBN26:EBN29" si="2601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602">SUM(EBO26:EBT26)</f>
        <v>0</v>
      </c>
      <c r="EBV26" s="211">
        <f t="shared" ref="EBV26:EBV29" si="2603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4">SUM(EBW26:ECB26)</f>
        <v>0</v>
      </c>
      <c r="ECD26" s="211">
        <f t="shared" ref="ECD26:ECD29" si="2605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6">SUM(ECE26:ECJ26)</f>
        <v>147</v>
      </c>
      <c r="ECL26" s="211">
        <f t="shared" ref="ECL26:ECL29" si="2607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8">SUM(ECM26:ECR26)</f>
        <v>0</v>
      </c>
      <c r="ECT26" s="211">
        <f t="shared" ref="ECT26:ECT29" si="2609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10">SUM(ECU26:ECZ26)</f>
        <v>0</v>
      </c>
      <c r="EDB26" s="211">
        <f t="shared" ref="EDB26:EDB29" si="2611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12">SUM(EDC26:EDH26)</f>
        <v>155</v>
      </c>
      <c r="EDJ26" s="211">
        <f t="shared" ref="EDJ26:EDJ29" si="2613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4">SUM(EDK26:EDP26)</f>
        <v>0</v>
      </c>
      <c r="EDR26" s="211">
        <f t="shared" ref="EDR26:EDR29" si="2615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6">SUM(EDS26:EDX26)</f>
        <v>196</v>
      </c>
      <c r="EDZ26" s="211">
        <f t="shared" ref="EDZ26:EDZ29" si="2617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8">SUM(EEA26:EEF26)</f>
        <v>0</v>
      </c>
      <c r="EEH26" s="211">
        <f t="shared" ref="EEH26:EEH29" si="2619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20">SUM(EEI26:EEN26)</f>
        <v>207</v>
      </c>
      <c r="EEP26" s="211">
        <f t="shared" ref="EEP26:EEP29" si="2621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22">SUM(EEQ26:EEV26)</f>
        <v>0</v>
      </c>
      <c r="EEX26" s="211">
        <f t="shared" ref="EEX26:EEX29" si="2623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4">SUM(EEY26:EFD26)</f>
        <v>0</v>
      </c>
      <c r="EFF26" s="707">
        <f t="shared" ref="EFF26:EFF29" si="2625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6">SUM(EFG26:EFL26)</f>
        <v>99</v>
      </c>
      <c r="EFN26" s="211">
        <f t="shared" ref="EFN26:EFN29" si="2627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8">SUM(EFO26:EFT26)</f>
        <v>0</v>
      </c>
      <c r="EFV26" s="211">
        <f t="shared" ref="EFV26:EFV29" si="2629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30">SUM(EFW26:EGB26)</f>
        <v>0</v>
      </c>
      <c r="EGD26" s="211">
        <f t="shared" ref="EGD26:EGD29" si="2631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32">SUM(EGE26:EGJ26)</f>
        <v>150</v>
      </c>
      <c r="EGL26" s="211">
        <f t="shared" ref="EGL26:EGL29" si="2633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4">SUM(EGM26:EGR26)</f>
        <v>0</v>
      </c>
      <c r="EGT26" s="211">
        <f t="shared" ref="EGT26:EGT29" si="2635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6">SUM(EGU26:EGZ26)</f>
        <v>0</v>
      </c>
      <c r="EHB26" s="211">
        <f t="shared" ref="EHB26:EHB29" si="2637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8">SUM(EHC26:EHH26)</f>
        <v>418</v>
      </c>
      <c r="EHJ26" s="211">
        <f t="shared" ref="EHJ26:EHJ29" si="2639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40">SUM(EHK26:EHP26)</f>
        <v>0</v>
      </c>
      <c r="EHR26" s="211">
        <f t="shared" ref="EHR26:EHR29" si="2641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42">SUM(EHS26:EHX26)</f>
        <v>0</v>
      </c>
      <c r="EHZ26" s="211">
        <f t="shared" ref="EHZ26:EHZ29" si="2643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4">SUM(EIA26:EIF26)</f>
        <v>0</v>
      </c>
      <c r="EIH26" s="211">
        <f t="shared" ref="EIH26:EIH29" si="2645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6">SUM(EII26:EIN26)</f>
        <v>0</v>
      </c>
      <c r="EIP26" s="211">
        <f t="shared" ref="EIP26:EIP29" si="2647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8">SUM(EIQ26:EIV26)</f>
        <v>100</v>
      </c>
      <c r="EIX26" s="211">
        <f t="shared" ref="EIX26:EIX29" si="2649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50">SUM(EIY26:EJD26)</f>
        <v>0</v>
      </c>
      <c r="EJF26" s="211">
        <f t="shared" ref="EJF26:EJF29" si="2651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52">SUM(EJG26:EJL26)</f>
        <v>0</v>
      </c>
      <c r="EJN26" s="211">
        <f t="shared" ref="EJN26:EJN29" si="2653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4">SUM(EJO26:EJT26)</f>
        <v>130</v>
      </c>
      <c r="EJV26" s="211">
        <f t="shared" ref="EJV26:EJV29" si="2655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6">SUM(EJW26:EKB26)</f>
        <v>0</v>
      </c>
      <c r="EKD26" s="211">
        <f t="shared" ref="EKD26:EKD29" si="2657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8">SUM(EKE26:EKJ26)</f>
        <v>0</v>
      </c>
      <c r="EKL26" s="211">
        <f t="shared" ref="EKL26:EKL29" si="2659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60">SUM(EKM26:EKR26)</f>
        <v>0</v>
      </c>
      <c r="EKT26" s="211">
        <f t="shared" ref="EKT26:EKT29" si="2661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62">SUM(EKU26:EKZ26)</f>
        <v>0</v>
      </c>
      <c r="ELB26" s="211">
        <f t="shared" ref="ELB26:ELB29" si="2663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4">SUM(ELC26:ELH26)</f>
        <v>0</v>
      </c>
      <c r="ELJ26" s="211">
        <f t="shared" ref="ELJ26:ELJ29" si="2665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6">SUM(ELK26:ELP26)</f>
        <v>0</v>
      </c>
      <c r="ELR26" s="211">
        <f t="shared" ref="ELR26:ELR29" si="2667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8">SUM(ELS26:ELX26)</f>
        <v>0</v>
      </c>
      <c r="ELZ26" s="873">
        <f t="shared" ref="ELZ26:ELZ29" si="2669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70">SUM(EMA26:EMF26)</f>
        <v>0</v>
      </c>
      <c r="EMH26" s="873">
        <f t="shared" ref="EMH26:EMH29" si="2671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72">SUM(EMI26:EMN26)</f>
        <v>0</v>
      </c>
      <c r="EMP26" s="873">
        <f t="shared" ref="EMP26:EMP29" si="2673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4">SUM(EMQ26:EMV26)</f>
        <v>0</v>
      </c>
      <c r="EMX26" s="873">
        <f t="shared" ref="EMX26:EMX29" si="2675">EMW26/$EMX$5</f>
        <v>0</v>
      </c>
      <c r="EMY26" s="195"/>
      <c r="EMZ26" s="49"/>
      <c r="ENA26" s="49"/>
      <c r="ENB26" s="49"/>
      <c r="ENC26" s="49"/>
      <c r="END26" s="49"/>
      <c r="ENE26" s="872">
        <f t="shared" ref="ENE26:ENE29" si="2676">SUM(EMY26:END26)</f>
        <v>0</v>
      </c>
      <c r="ENF26" s="873">
        <f t="shared" ref="ENF26:ENF29" si="2677">ENE26/$ENF$5</f>
        <v>0</v>
      </c>
    </row>
    <row r="27" spans="1:3750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5"/>
        <v>0</v>
      </c>
      <c r="L27" s="24">
        <f t="shared" si="1618"/>
        <v>2529</v>
      </c>
      <c r="M27" s="15">
        <f t="shared" si="1816"/>
        <v>2529</v>
      </c>
      <c r="N27" s="15">
        <v>21.5</v>
      </c>
      <c r="O27" s="276">
        <f t="shared" si="1619"/>
        <v>117.62790697674419</v>
      </c>
      <c r="P27" s="277">
        <v>0</v>
      </c>
      <c r="Q27" s="276">
        <f t="shared" si="1817"/>
        <v>0</v>
      </c>
      <c r="R27" s="277">
        <f t="shared" si="1818"/>
        <v>12.307692307692308</v>
      </c>
      <c r="S27" s="222">
        <v>320</v>
      </c>
      <c r="T27" s="276">
        <f t="shared" si="1819"/>
        <v>205.48124999999999</v>
      </c>
      <c r="U27" s="278"/>
      <c r="V27" s="276">
        <f t="shared" si="1820"/>
        <v>205.48124999999999</v>
      </c>
      <c r="W27" s="279">
        <f t="shared" si="1821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22"/>
        <v>0</v>
      </c>
      <c r="AM27" s="43">
        <f t="shared" si="1823"/>
        <v>0</v>
      </c>
      <c r="AN27" s="48">
        <v>200</v>
      </c>
      <c r="AO27" s="49"/>
      <c r="AP27" s="49"/>
      <c r="AQ27" s="49"/>
      <c r="AR27" s="49"/>
      <c r="AS27" s="49"/>
      <c r="AT27" s="42">
        <f t="shared" si="1824"/>
        <v>200</v>
      </c>
      <c r="AU27" s="43">
        <f t="shared" si="1825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6"/>
        <v>594</v>
      </c>
      <c r="BC27" s="43">
        <f t="shared" si="1827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8"/>
        <v>1202</v>
      </c>
      <c r="BK27" s="43">
        <f t="shared" si="1829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30"/>
        <v>797</v>
      </c>
      <c r="BS27" s="43">
        <f t="shared" si="1831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32"/>
        <v>1497</v>
      </c>
      <c r="CA27" s="43">
        <f t="shared" si="1833"/>
        <v>249.5</v>
      </c>
      <c r="CB27" s="48"/>
      <c r="CC27" s="49"/>
      <c r="CD27" s="49"/>
      <c r="CE27" s="49"/>
      <c r="CF27" s="49"/>
      <c r="CG27" s="49"/>
      <c r="CH27" s="42">
        <f t="shared" si="1834"/>
        <v>0</v>
      </c>
      <c r="CI27" s="43">
        <f t="shared" si="1835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6"/>
        <v>1008</v>
      </c>
      <c r="CQ27" s="43">
        <f t="shared" si="1837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8"/>
        <v>598</v>
      </c>
      <c r="CY27" s="43">
        <f t="shared" si="1839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40"/>
        <v>401</v>
      </c>
      <c r="DG27" s="43">
        <f t="shared" si="1841"/>
        <v>66.833333333333329</v>
      </c>
      <c r="DH27" s="48"/>
      <c r="DI27" s="49"/>
      <c r="DJ27" s="49"/>
      <c r="DK27" s="49"/>
      <c r="DL27" s="49"/>
      <c r="DM27" s="49"/>
      <c r="DN27" s="42">
        <f t="shared" si="1842"/>
        <v>0</v>
      </c>
      <c r="DO27" s="43">
        <f t="shared" si="1843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4"/>
        <v>1002</v>
      </c>
      <c r="DW27" s="43">
        <f t="shared" si="1845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6"/>
        <v>632</v>
      </c>
      <c r="EE27" s="43">
        <f t="shared" si="1847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8"/>
        <v>595</v>
      </c>
      <c r="EM27" s="43">
        <f t="shared" si="1849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50"/>
        <v>400</v>
      </c>
      <c r="EU27" s="43">
        <f t="shared" si="1851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52"/>
        <v>802</v>
      </c>
      <c r="FC27" s="43">
        <f t="shared" si="1853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4"/>
        <v>1197</v>
      </c>
      <c r="FK27" s="43">
        <f t="shared" si="1855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6"/>
        <v>201</v>
      </c>
      <c r="FS27" s="43">
        <f t="shared" si="1857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8"/>
        <v>835</v>
      </c>
      <c r="GA27" s="43">
        <f t="shared" si="1859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60"/>
        <v>1005</v>
      </c>
      <c r="GI27" s="43">
        <f t="shared" si="1861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62"/>
        <v>200</v>
      </c>
      <c r="GQ27" s="43">
        <f t="shared" si="1863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4"/>
        <v>604</v>
      </c>
      <c r="GY27" s="43">
        <f t="shared" si="1865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6"/>
        <v>196</v>
      </c>
      <c r="HG27" s="43">
        <f t="shared" si="1867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8"/>
        <v>671</v>
      </c>
      <c r="HO27" s="43">
        <f t="shared" si="1869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70"/>
        <v>383</v>
      </c>
      <c r="HW27" s="43">
        <f t="shared" si="1871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72"/>
        <v>1598</v>
      </c>
      <c r="IE27" s="43">
        <f t="shared" si="1873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4"/>
        <v>400</v>
      </c>
      <c r="IM27" s="43">
        <f t="shared" si="1875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6"/>
        <v>617</v>
      </c>
      <c r="IU27" s="43">
        <f t="shared" si="1877"/>
        <v>102.83333333333333</v>
      </c>
      <c r="IV27" s="48"/>
      <c r="IW27" s="49"/>
      <c r="IX27" s="49"/>
      <c r="IY27" s="49"/>
      <c r="IZ27" s="49"/>
      <c r="JA27" s="49"/>
      <c r="JB27" s="42">
        <f t="shared" si="1878"/>
        <v>0</v>
      </c>
      <c r="JC27" s="43">
        <f t="shared" si="1879"/>
        <v>0</v>
      </c>
      <c r="JD27" s="48"/>
      <c r="JE27" s="49">
        <v>598</v>
      </c>
      <c r="JF27" s="49"/>
      <c r="JG27" s="49"/>
      <c r="JH27" s="49"/>
      <c r="JI27" s="49"/>
      <c r="JJ27" s="42">
        <f t="shared" si="1880"/>
        <v>598</v>
      </c>
      <c r="JK27" s="43">
        <f t="shared" si="1881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82"/>
        <v>793</v>
      </c>
      <c r="JS27" s="43">
        <f t="shared" si="1883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4"/>
        <v>806</v>
      </c>
      <c r="KA27" s="43">
        <f t="shared" si="1885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6"/>
        <v>795</v>
      </c>
      <c r="KI27" s="43">
        <f t="shared" si="1887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8"/>
        <v>1104</v>
      </c>
      <c r="KQ27" s="43">
        <f t="shared" si="1889"/>
        <v>184</v>
      </c>
      <c r="KR27" s="48"/>
      <c r="KS27" s="49"/>
      <c r="KT27" s="49"/>
      <c r="KU27" s="49">
        <v>596</v>
      </c>
      <c r="KV27" s="49"/>
      <c r="KW27" s="49"/>
      <c r="KX27" s="42">
        <f t="shared" si="1890"/>
        <v>596</v>
      </c>
      <c r="KY27" s="43">
        <f t="shared" si="1891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92"/>
        <v>1200</v>
      </c>
      <c r="LG27" s="43">
        <f t="shared" si="1893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4"/>
        <v>400</v>
      </c>
      <c r="LO27" s="68">
        <f t="shared" si="1895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6"/>
        <v>435</v>
      </c>
      <c r="LW27" s="68">
        <f t="shared" si="1897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8"/>
        <v>707</v>
      </c>
      <c r="ME27" s="68">
        <f t="shared" si="1899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900"/>
        <v>822</v>
      </c>
      <c r="MM27" s="43">
        <f t="shared" si="1901"/>
        <v>137</v>
      </c>
      <c r="MN27" s="48"/>
      <c r="MO27" s="49"/>
      <c r="MP27" s="49"/>
      <c r="MQ27" s="49"/>
      <c r="MR27" s="49"/>
      <c r="MS27" s="49"/>
      <c r="MT27" s="42">
        <f t="shared" si="1902"/>
        <v>0</v>
      </c>
      <c r="MU27" s="43">
        <f t="shared" si="1903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4"/>
        <v>1408</v>
      </c>
      <c r="NC27" s="43">
        <f t="shared" si="1905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6"/>
        <v>197</v>
      </c>
      <c r="NK27" s="43">
        <f t="shared" si="1907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8"/>
        <v>512</v>
      </c>
      <c r="NS27" s="43">
        <f t="shared" si="1909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10"/>
        <v>1400</v>
      </c>
      <c r="OA27" s="43">
        <f t="shared" si="1911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12"/>
        <v>408</v>
      </c>
      <c r="OI27" s="43">
        <f t="shared" si="1913"/>
        <v>68</v>
      </c>
      <c r="OJ27" s="48">
        <v>400</v>
      </c>
      <c r="OK27" s="49"/>
      <c r="OL27" s="49"/>
      <c r="OM27" s="49"/>
      <c r="ON27" s="49"/>
      <c r="OO27" s="49"/>
      <c r="OP27" s="42">
        <f t="shared" si="1914"/>
        <v>400</v>
      </c>
      <c r="OQ27" s="43">
        <f t="shared" si="1915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6"/>
        <v>610</v>
      </c>
      <c r="OY27" s="68">
        <f t="shared" si="1917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8"/>
        <v>999</v>
      </c>
      <c r="PG27" s="68">
        <f t="shared" si="1919"/>
        <v>166.5</v>
      </c>
      <c r="PH27" s="48"/>
      <c r="PI27" s="49"/>
      <c r="PJ27" s="49"/>
      <c r="PK27" s="49"/>
      <c r="PL27" s="49"/>
      <c r="PM27" s="49"/>
      <c r="PN27" s="104">
        <f t="shared" si="1920"/>
        <v>0</v>
      </c>
      <c r="PO27" s="105">
        <f t="shared" si="1921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22"/>
        <v>705</v>
      </c>
      <c r="PW27" s="105">
        <f t="shared" si="1923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4"/>
        <v>430</v>
      </c>
      <c r="QE27" s="105">
        <f t="shared" si="1925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6"/>
        <v>412</v>
      </c>
      <c r="QM27" s="105">
        <f t="shared" si="1927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8"/>
        <v>1218</v>
      </c>
      <c r="QU27" s="105">
        <f t="shared" si="1929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30"/>
        <v>400</v>
      </c>
      <c r="RC27" s="105">
        <f t="shared" si="1931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32"/>
        <v>409</v>
      </c>
      <c r="RK27" s="105">
        <f t="shared" si="1933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4"/>
        <v>806</v>
      </c>
      <c r="RS27" s="105">
        <f t="shared" si="1935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6"/>
        <v>403</v>
      </c>
      <c r="SA27" s="105">
        <f t="shared" si="1937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8"/>
        <v>613</v>
      </c>
      <c r="SI27" s="105">
        <f t="shared" si="1939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40"/>
        <v>954</v>
      </c>
      <c r="SQ27" s="105">
        <f t="shared" si="1941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42"/>
        <v>607</v>
      </c>
      <c r="SY27" s="105">
        <f t="shared" si="1943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4"/>
        <v>600</v>
      </c>
      <c r="TG27" s="105">
        <f t="shared" si="1945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6"/>
        <v>401</v>
      </c>
      <c r="TO27" s="105">
        <f t="shared" si="1947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8"/>
        <v>301</v>
      </c>
      <c r="TX27" s="105">
        <f t="shared" si="1949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50"/>
        <v>300</v>
      </c>
      <c r="UF27" s="105">
        <f t="shared" si="1951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52"/>
        <v>378</v>
      </c>
      <c r="UN27" s="105">
        <f t="shared" si="1953"/>
        <v>63</v>
      </c>
      <c r="UO27" s="48"/>
      <c r="UP27" s="49"/>
      <c r="UQ27" s="49"/>
      <c r="UR27" s="49"/>
      <c r="US27" s="49">
        <v>602</v>
      </c>
      <c r="UT27" s="49"/>
      <c r="UU27" s="67">
        <f t="shared" si="1954"/>
        <v>602</v>
      </c>
      <c r="UV27" s="68">
        <f t="shared" si="1955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6"/>
        <v>186</v>
      </c>
      <c r="VD27" s="105">
        <f t="shared" si="1957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8"/>
        <v>400</v>
      </c>
      <c r="VL27" s="68">
        <f t="shared" si="1959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60"/>
        <v>629</v>
      </c>
      <c r="VU27" s="105">
        <f t="shared" si="1961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62"/>
        <v>300</v>
      </c>
      <c r="WD27" s="68">
        <f t="shared" si="1963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4"/>
        <v>498</v>
      </c>
      <c r="WM27" s="68">
        <f t="shared" si="1965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6"/>
        <v>599</v>
      </c>
      <c r="WV27" s="68">
        <f t="shared" si="1967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8"/>
        <v>302</v>
      </c>
      <c r="XE27" s="68">
        <f t="shared" si="1969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70"/>
        <v>599</v>
      </c>
      <c r="XM27" s="68">
        <f t="shared" si="1971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72"/>
        <v>602</v>
      </c>
      <c r="XU27" s="68">
        <f t="shared" si="1973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4"/>
        <v>393</v>
      </c>
      <c r="YC27" s="68">
        <f t="shared" si="1975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6"/>
        <v>602</v>
      </c>
      <c r="YL27" s="68">
        <f t="shared" si="1977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8"/>
        <v>499</v>
      </c>
      <c r="YU27" s="68">
        <f t="shared" si="1979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80"/>
        <v>202</v>
      </c>
      <c r="ZC27" s="68">
        <f t="shared" si="1981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82"/>
        <v>701</v>
      </c>
      <c r="ZK27" s="68">
        <f t="shared" si="1983"/>
        <v>116.83333333333333</v>
      </c>
      <c r="ZL27" s="48"/>
      <c r="ZM27" s="49"/>
      <c r="ZN27" s="49"/>
      <c r="ZO27" s="49"/>
      <c r="ZP27" s="49"/>
      <c r="ZQ27" s="49"/>
      <c r="ZR27" s="67">
        <f t="shared" si="1984"/>
        <v>0</v>
      </c>
      <c r="ZS27" s="68">
        <f t="shared" si="1985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6"/>
        <v>878</v>
      </c>
      <c r="AAA27" s="68">
        <f t="shared" si="1987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8"/>
        <v>601</v>
      </c>
      <c r="AAI27" s="68">
        <f t="shared" si="1989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90"/>
        <v>401</v>
      </c>
      <c r="AAQ27" s="68">
        <f t="shared" si="1991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92"/>
        <v>310</v>
      </c>
      <c r="AAY27" s="68">
        <f t="shared" si="1993"/>
        <v>51.666666666666664</v>
      </c>
      <c r="AAZ27" s="48"/>
      <c r="ABA27" s="49"/>
      <c r="ABB27" s="49"/>
      <c r="ABC27" s="49"/>
      <c r="ABD27" s="49"/>
      <c r="ABE27" s="49"/>
      <c r="ABF27" s="67">
        <f t="shared" si="1994"/>
        <v>0</v>
      </c>
      <c r="ABG27" s="68">
        <f t="shared" si="1995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6"/>
        <v>398</v>
      </c>
      <c r="ABO27" s="68">
        <f t="shared" si="1997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8"/>
        <v>301</v>
      </c>
      <c r="ABW27" s="68">
        <f t="shared" si="1999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2000"/>
        <v>200</v>
      </c>
      <c r="ACE27" s="68">
        <f t="shared" si="1641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2001"/>
        <v>490</v>
      </c>
      <c r="ACM27" s="68">
        <f t="shared" si="2002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2003"/>
        <v>200</v>
      </c>
      <c r="ACU27" s="68">
        <f t="shared" si="2004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5"/>
        <v>440</v>
      </c>
      <c r="ADC27" s="68">
        <f t="shared" si="2006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7"/>
        <v>429</v>
      </c>
      <c r="ADK27" s="68">
        <f t="shared" si="2008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9"/>
        <v>702</v>
      </c>
      <c r="ADS27" s="68">
        <f t="shared" si="2010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11"/>
        <v>399</v>
      </c>
      <c r="AEA27" s="68">
        <f t="shared" si="2012"/>
        <v>66.5</v>
      </c>
      <c r="AEB27" s="48"/>
      <c r="AEC27" s="49"/>
      <c r="AED27" s="49"/>
      <c r="AEE27" s="49"/>
      <c r="AEF27" s="49"/>
      <c r="AEG27" s="49"/>
      <c r="AEH27" s="67">
        <f t="shared" si="2013"/>
        <v>0</v>
      </c>
      <c r="AEI27" s="68">
        <f t="shared" si="2014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5"/>
        <v>202</v>
      </c>
      <c r="AEQ27" s="68">
        <f t="shared" si="2016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7"/>
        <v>189</v>
      </c>
      <c r="AEY27" s="68">
        <f t="shared" si="2018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9"/>
        <v>400</v>
      </c>
      <c r="AFG27" s="68">
        <f t="shared" si="2020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21"/>
        <v>200</v>
      </c>
      <c r="AFO27" s="68">
        <f t="shared" si="2022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23"/>
        <v>802</v>
      </c>
      <c r="AFW27" s="68">
        <f t="shared" si="2024"/>
        <v>80.2</v>
      </c>
      <c r="AFX27" s="48"/>
      <c r="AFY27" s="49"/>
      <c r="AFZ27" s="49"/>
      <c r="AGA27" s="49"/>
      <c r="AGB27" s="49"/>
      <c r="AGC27" s="49"/>
      <c r="AGD27" s="67">
        <f t="shared" si="2025"/>
        <v>0</v>
      </c>
      <c r="AGE27" s="68">
        <f t="shared" si="2026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7"/>
        <v>319</v>
      </c>
      <c r="AGM27" s="68">
        <f t="shared" si="2028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9"/>
        <v>427</v>
      </c>
      <c r="AGU27" s="43">
        <f t="shared" si="2030"/>
        <v>42.7</v>
      </c>
      <c r="AGV27" s="48"/>
      <c r="AGW27" s="49"/>
      <c r="AGX27" s="49"/>
      <c r="AGY27" s="49"/>
      <c r="AGZ27" s="49"/>
      <c r="AHA27" s="49"/>
      <c r="AHB27" s="42">
        <f t="shared" si="2031"/>
        <v>0</v>
      </c>
      <c r="AHC27" s="43">
        <f t="shared" si="2032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33"/>
        <v>530</v>
      </c>
      <c r="AHK27" s="43">
        <f t="shared" si="2034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5"/>
        <v>500</v>
      </c>
      <c r="AHS27" s="68">
        <f t="shared" si="2036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7"/>
        <v>355</v>
      </c>
      <c r="AIA27" s="68">
        <f t="shared" si="2038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9"/>
        <v>327</v>
      </c>
      <c r="AII27" s="68">
        <f t="shared" si="2040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41"/>
        <v>496</v>
      </c>
      <c r="AIQ27" s="68">
        <f t="shared" si="2042"/>
        <v>82.666666666666671</v>
      </c>
      <c r="AIR27" s="48"/>
      <c r="AIS27" s="49"/>
      <c r="AIT27" s="49"/>
      <c r="AIU27" s="49"/>
      <c r="AIV27" s="49"/>
      <c r="AIW27" s="49"/>
      <c r="AIX27" s="67">
        <f t="shared" si="2043"/>
        <v>0</v>
      </c>
      <c r="AIY27" s="68">
        <f t="shared" si="2044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5"/>
        <v>300</v>
      </c>
      <c r="AJG27" s="68">
        <f t="shared" si="2046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7"/>
        <v>100</v>
      </c>
      <c r="AJO27" s="43">
        <f t="shared" si="2048"/>
        <v>16.666666666666668</v>
      </c>
      <c r="AJP27" s="48"/>
      <c r="AJQ27" s="49"/>
      <c r="AJR27" s="49"/>
      <c r="AJS27" s="49"/>
      <c r="AJT27" s="49"/>
      <c r="AJU27" s="47"/>
      <c r="AJV27" s="47">
        <f t="shared" si="2049"/>
        <v>0</v>
      </c>
      <c r="AJW27" s="43">
        <f t="shared" si="2050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51"/>
        <v>399</v>
      </c>
      <c r="AKE27" s="43">
        <f t="shared" si="2052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53"/>
        <v>492</v>
      </c>
      <c r="AKM27" s="43">
        <f t="shared" si="2054"/>
        <v>82</v>
      </c>
      <c r="AKN27" s="82"/>
      <c r="AKO27" s="83"/>
      <c r="AKP27" s="83"/>
      <c r="AKQ27" s="83"/>
      <c r="AKR27" s="83"/>
      <c r="AKS27" s="83"/>
      <c r="AKT27" s="47">
        <f t="shared" si="2055"/>
        <v>0</v>
      </c>
      <c r="AKU27" s="43">
        <f t="shared" si="2056"/>
        <v>0</v>
      </c>
      <c r="AKV27" s="48"/>
      <c r="AKW27" s="49"/>
      <c r="AKX27" s="49"/>
      <c r="AKY27" s="49"/>
      <c r="AKZ27" s="49"/>
      <c r="ALA27" s="49"/>
      <c r="ALB27" s="47">
        <f t="shared" si="2057"/>
        <v>0</v>
      </c>
      <c r="ALC27" s="43">
        <f t="shared" si="2058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9"/>
        <v>400</v>
      </c>
      <c r="ALK27" s="43">
        <f t="shared" si="2060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61"/>
        <v>198</v>
      </c>
      <c r="ALS27" s="68">
        <f t="shared" si="2062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63"/>
        <v>100</v>
      </c>
      <c r="AMA27" s="68">
        <f t="shared" si="2064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5"/>
        <v>100</v>
      </c>
      <c r="AMI27" s="68">
        <f t="shared" si="2066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7"/>
        <v>300</v>
      </c>
      <c r="AMQ27" s="68">
        <f t="shared" si="2068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9"/>
        <v>399</v>
      </c>
      <c r="AMY27" s="68">
        <f t="shared" si="2070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71"/>
        <v>302</v>
      </c>
      <c r="ANG27" s="68">
        <f t="shared" si="2072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73"/>
        <v>200</v>
      </c>
      <c r="ANO27" s="68">
        <f t="shared" si="2074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5"/>
        <v>198</v>
      </c>
      <c r="ANW27" s="68">
        <f t="shared" si="2076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7"/>
        <v>991</v>
      </c>
      <c r="AOE27" s="68">
        <f t="shared" si="2078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9"/>
        <v>404</v>
      </c>
      <c r="AOM27" s="68">
        <f t="shared" si="2080"/>
        <v>67.333333333333329</v>
      </c>
      <c r="AON27" s="48"/>
      <c r="AOO27" s="49"/>
      <c r="AOP27" s="49"/>
      <c r="AOQ27" s="49"/>
      <c r="AOR27" s="49"/>
      <c r="AOS27" s="49"/>
      <c r="AOT27" s="67">
        <f t="shared" si="2081"/>
        <v>0</v>
      </c>
      <c r="AOU27" s="68">
        <f t="shared" si="2082"/>
        <v>0</v>
      </c>
      <c r="AOV27" s="48"/>
      <c r="AOW27" s="49"/>
      <c r="AOX27" s="49"/>
      <c r="AOY27" s="49"/>
      <c r="AOZ27" s="49"/>
      <c r="APA27" s="49"/>
      <c r="APB27" s="67">
        <f t="shared" si="2083"/>
        <v>0</v>
      </c>
      <c r="APC27" s="68">
        <f t="shared" si="2084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5"/>
        <v>420</v>
      </c>
      <c r="APK27" s="68">
        <f t="shared" si="2086"/>
        <v>70</v>
      </c>
      <c r="APL27" s="48"/>
      <c r="APM27" s="49"/>
      <c r="APN27" s="49"/>
      <c r="APO27" s="49"/>
      <c r="APP27" s="49"/>
      <c r="APQ27" s="49"/>
      <c r="APR27" s="67">
        <f t="shared" si="2087"/>
        <v>0</v>
      </c>
      <c r="APS27" s="68">
        <f t="shared" si="2088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9"/>
        <v>48</v>
      </c>
      <c r="AQA27" s="68">
        <f t="shared" si="2090"/>
        <v>8</v>
      </c>
      <c r="AQB27" s="48"/>
      <c r="AQC27" s="49"/>
      <c r="AQD27" s="49"/>
      <c r="AQE27" s="49"/>
      <c r="AQF27" s="49"/>
      <c r="AQG27" s="49"/>
      <c r="AQH27" s="67">
        <f t="shared" si="2091"/>
        <v>0</v>
      </c>
      <c r="AQI27" s="68">
        <f t="shared" si="2092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93"/>
        <v>200</v>
      </c>
      <c r="AQQ27" s="43">
        <f t="shared" si="2094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5"/>
        <v>199</v>
      </c>
      <c r="AQY27" s="43">
        <f t="shared" si="2096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7"/>
        <v>100</v>
      </c>
      <c r="ARG27" s="43">
        <f t="shared" si="2098"/>
        <v>16.666666666666668</v>
      </c>
      <c r="ARH27" s="201"/>
      <c r="ARI27" s="47"/>
      <c r="ARJ27" s="47"/>
      <c r="ARK27" s="47"/>
      <c r="ARL27" s="47"/>
      <c r="ARM27" s="47"/>
      <c r="ARN27" s="42">
        <f t="shared" si="2099"/>
        <v>0</v>
      </c>
      <c r="ARO27" s="43">
        <f t="shared" si="2100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101"/>
        <v>100</v>
      </c>
      <c r="ARW27" s="43">
        <f t="shared" si="2102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103"/>
        <v>194</v>
      </c>
      <c r="ASE27" s="43">
        <f t="shared" si="2104"/>
        <v>32.333333333333336</v>
      </c>
      <c r="ASF27" s="48"/>
      <c r="ASG27" s="49"/>
      <c r="ASH27" s="49"/>
      <c r="ASI27" s="49"/>
      <c r="ASJ27" s="49"/>
      <c r="ASK27" s="49"/>
      <c r="ASL27" s="42">
        <f t="shared" si="2105"/>
        <v>0</v>
      </c>
      <c r="ASM27" s="43">
        <f t="shared" si="2106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7"/>
        <v>300</v>
      </c>
      <c r="ASU27" s="43">
        <f t="shared" si="2108"/>
        <v>50</v>
      </c>
      <c r="ASV27" s="48"/>
      <c r="ASW27" s="49"/>
      <c r="ASX27" s="49"/>
      <c r="ASY27" s="49"/>
      <c r="ASZ27" s="49"/>
      <c r="ATA27" s="49"/>
      <c r="ATB27" s="42">
        <f t="shared" si="2109"/>
        <v>0</v>
      </c>
      <c r="ATC27" s="43">
        <f t="shared" si="2110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11"/>
        <v>300</v>
      </c>
      <c r="ATK27" s="43">
        <f t="shared" si="2112"/>
        <v>50</v>
      </c>
      <c r="ATL27" s="48"/>
      <c r="ATM27" s="49"/>
      <c r="ATN27" s="49"/>
      <c r="ATO27" s="49"/>
      <c r="ATP27" s="49"/>
      <c r="ATQ27" s="49"/>
      <c r="ATR27" s="42">
        <f t="shared" si="2113"/>
        <v>0</v>
      </c>
      <c r="ATS27" s="43">
        <f t="shared" si="2114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5"/>
        <v>304</v>
      </c>
      <c r="AUA27" s="43">
        <f t="shared" si="2116"/>
        <v>50.666666666666664</v>
      </c>
      <c r="AUB27" s="48"/>
      <c r="AUC27" s="49"/>
      <c r="AUD27" s="49"/>
      <c r="AUE27" s="49"/>
      <c r="AUF27" s="49"/>
      <c r="AUG27" s="49"/>
      <c r="AUH27" s="42">
        <f t="shared" si="2117"/>
        <v>0</v>
      </c>
      <c r="AUI27" s="43">
        <f t="shared" si="2118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9"/>
        <v>300</v>
      </c>
      <c r="AUQ27" s="43">
        <f t="shared" si="2120"/>
        <v>50</v>
      </c>
      <c r="AUR27" s="48"/>
      <c r="AUS27" s="49"/>
      <c r="AUT27" s="49"/>
      <c r="AUU27" s="49"/>
      <c r="AUV27" s="49"/>
      <c r="AUW27" s="49"/>
      <c r="AUX27" s="42">
        <f t="shared" si="2121"/>
        <v>0</v>
      </c>
      <c r="AUY27" s="43">
        <f t="shared" si="2122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23"/>
        <v>302</v>
      </c>
      <c r="AVG27" s="43">
        <f t="shared" si="2124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5"/>
        <v>395</v>
      </c>
      <c r="AVO27" s="43">
        <f t="shared" si="2126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7"/>
        <v>200</v>
      </c>
      <c r="AVW27" s="43">
        <f t="shared" si="2128"/>
        <v>33.333333333333336</v>
      </c>
      <c r="AVX27" s="48"/>
      <c r="AVY27" s="49"/>
      <c r="AVZ27" s="49"/>
      <c r="AWA27" s="49"/>
      <c r="AWB27" s="49"/>
      <c r="AWC27" s="49"/>
      <c r="AWD27" s="42">
        <f t="shared" si="2129"/>
        <v>0</v>
      </c>
      <c r="AWE27" s="43">
        <f t="shared" si="2130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31"/>
        <v>399</v>
      </c>
      <c r="AWM27" s="43">
        <f t="shared" si="2132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33"/>
        <v>402</v>
      </c>
      <c r="AWU27" s="43">
        <f t="shared" si="2134"/>
        <v>67</v>
      </c>
      <c r="AWV27" s="48"/>
      <c r="AWW27" s="49"/>
      <c r="AWX27" s="49"/>
      <c r="AWY27" s="49"/>
      <c r="AWZ27" s="49"/>
      <c r="AXA27" s="49"/>
      <c r="AXB27" s="42">
        <f t="shared" si="2135"/>
        <v>0</v>
      </c>
      <c r="AXC27" s="43">
        <f t="shared" si="2136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7"/>
        <v>304</v>
      </c>
      <c r="AXK27" s="43">
        <f t="shared" si="2138"/>
        <v>50.666666666666664</v>
      </c>
      <c r="AXL27" s="48"/>
      <c r="AXM27" s="49"/>
      <c r="AXN27" s="49"/>
      <c r="AXO27" s="49"/>
      <c r="AXP27" s="49"/>
      <c r="AXQ27" s="49"/>
      <c r="AXR27" s="42">
        <f t="shared" si="2139"/>
        <v>0</v>
      </c>
      <c r="AXS27" s="43">
        <f t="shared" si="2140"/>
        <v>0</v>
      </c>
      <c r="AXT27" s="48"/>
      <c r="AXU27" s="49"/>
      <c r="AXV27" s="49"/>
      <c r="AXW27" s="49"/>
      <c r="AXX27" s="49"/>
      <c r="AXY27" s="49"/>
      <c r="AXZ27" s="42">
        <f t="shared" si="2141"/>
        <v>0</v>
      </c>
      <c r="AYA27" s="43">
        <f t="shared" si="2142"/>
        <v>0</v>
      </c>
      <c r="AYB27" s="48"/>
      <c r="AYC27" s="49"/>
      <c r="AYD27" s="49"/>
      <c r="AYE27" s="49"/>
      <c r="AYF27" s="49"/>
      <c r="AYG27" s="49"/>
      <c r="AYH27" s="42">
        <f t="shared" si="2143"/>
        <v>0</v>
      </c>
      <c r="AYI27" s="43">
        <f t="shared" si="2144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5"/>
        <v>201</v>
      </c>
      <c r="AYQ27" s="43">
        <f t="shared" si="2146"/>
        <v>33.5</v>
      </c>
      <c r="AYR27" s="48"/>
      <c r="AYS27" s="49"/>
      <c r="AYT27" s="49"/>
      <c r="AYU27" s="49"/>
      <c r="AYV27" s="49"/>
      <c r="AYW27" s="49"/>
      <c r="AYX27" s="42">
        <f t="shared" si="2147"/>
        <v>0</v>
      </c>
      <c r="AYY27" s="43">
        <f t="shared" si="2148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9"/>
        <v>100</v>
      </c>
      <c r="AZG27" s="43">
        <f t="shared" si="2150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51"/>
        <v>200</v>
      </c>
      <c r="AZO27" s="43">
        <f t="shared" si="2152"/>
        <v>33.333333333333336</v>
      </c>
      <c r="AZP27" s="48"/>
      <c r="AZQ27" s="49"/>
      <c r="AZR27" s="49"/>
      <c r="AZS27" s="49"/>
      <c r="AZT27" s="49"/>
      <c r="AZU27" s="49"/>
      <c r="AZV27" s="42">
        <f t="shared" si="2153"/>
        <v>0</v>
      </c>
      <c r="AZW27" s="43">
        <f t="shared" si="2154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5"/>
        <v>200</v>
      </c>
      <c r="BAE27" s="43">
        <f t="shared" si="2156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7"/>
        <v>300</v>
      </c>
      <c r="BAM27" s="43">
        <f t="shared" si="2158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9"/>
        <v>111</v>
      </c>
      <c r="BAU27" s="43">
        <f t="shared" si="2160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61"/>
        <v>200</v>
      </c>
      <c r="BBC27" s="43">
        <f t="shared" si="2162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63"/>
        <v>300</v>
      </c>
      <c r="BBK27" s="43">
        <f t="shared" si="2164"/>
        <v>50</v>
      </c>
      <c r="BBL27" s="48"/>
      <c r="BBM27" s="49"/>
      <c r="BBN27" s="49"/>
      <c r="BBO27" s="49"/>
      <c r="BBP27" s="49"/>
      <c r="BBQ27" s="49"/>
      <c r="BBR27" s="42">
        <f t="shared" si="2165"/>
        <v>0</v>
      </c>
      <c r="BBS27" s="43">
        <f t="shared" si="2166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7"/>
        <v>300</v>
      </c>
      <c r="BCA27" s="43">
        <f t="shared" si="2168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9"/>
        <v>200</v>
      </c>
      <c r="BCI27" s="43">
        <f t="shared" si="2170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71"/>
        <v>287</v>
      </c>
      <c r="BCQ27" s="43">
        <f t="shared" si="2172"/>
        <v>47.833333333333336</v>
      </c>
      <c r="BCR27" s="48"/>
      <c r="BCS27" s="49"/>
      <c r="BCT27" s="49"/>
      <c r="BCU27" s="49"/>
      <c r="BCV27" s="49"/>
      <c r="BCW27" s="49"/>
      <c r="BCX27" s="42">
        <f t="shared" si="2173"/>
        <v>0</v>
      </c>
      <c r="BCY27" s="43">
        <f t="shared" si="2174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5"/>
        <v>300</v>
      </c>
      <c r="BDG27" s="43">
        <f t="shared" si="2176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7"/>
        <v>198</v>
      </c>
      <c r="BDO27" s="101">
        <f t="shared" si="2178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9"/>
        <v>103</v>
      </c>
      <c r="BDW27" s="101">
        <f t="shared" si="2180"/>
        <v>17.166666666666668</v>
      </c>
      <c r="BDX27" s="48"/>
      <c r="BDY27" s="49"/>
      <c r="BDZ27" s="49"/>
      <c r="BEA27" s="49"/>
      <c r="BEB27" s="49"/>
      <c r="BEC27" s="49"/>
      <c r="BED27" s="42">
        <f t="shared" si="2181"/>
        <v>0</v>
      </c>
      <c r="BEE27" s="43">
        <f t="shared" si="2182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83"/>
        <v>200</v>
      </c>
      <c r="BEM27" s="43">
        <f t="shared" si="2184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5"/>
        <v>100</v>
      </c>
      <c r="BEU27" s="43">
        <f t="shared" si="2186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7"/>
        <v>220</v>
      </c>
      <c r="BFC27" s="43">
        <f t="shared" si="2188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9"/>
        <v>200</v>
      </c>
      <c r="BFK27" s="43">
        <f t="shared" si="2190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91"/>
        <v>204</v>
      </c>
      <c r="BFS27" s="43">
        <f t="shared" si="2192"/>
        <v>34</v>
      </c>
      <c r="BFT27" s="48"/>
      <c r="BFU27" s="49"/>
      <c r="BFV27" s="49"/>
      <c r="BFW27" s="49"/>
      <c r="BFX27" s="49"/>
      <c r="BFY27" s="49"/>
      <c r="BFZ27" s="42">
        <f t="shared" si="2193"/>
        <v>0</v>
      </c>
      <c r="BGA27" s="43">
        <f t="shared" si="2194"/>
        <v>0</v>
      </c>
      <c r="BGB27" s="48"/>
      <c r="BGC27" s="49"/>
      <c r="BGD27" s="49"/>
      <c r="BGE27" s="49"/>
      <c r="BGF27" s="49"/>
      <c r="BGG27" s="49"/>
      <c r="BGH27" s="42">
        <f t="shared" si="2195"/>
        <v>0</v>
      </c>
      <c r="BGI27" s="43">
        <f t="shared" si="2196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7"/>
        <v>190</v>
      </c>
      <c r="BGQ27" s="43">
        <f t="shared" si="2198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9"/>
        <v>300</v>
      </c>
      <c r="BGY27" s="43">
        <f t="shared" si="2200"/>
        <v>50</v>
      </c>
      <c r="BGZ27" s="48"/>
      <c r="BHA27" s="49"/>
      <c r="BHB27" s="49"/>
      <c r="BHC27" s="49"/>
      <c r="BHD27" s="49"/>
      <c r="BHE27" s="49"/>
      <c r="BHF27" s="42">
        <f t="shared" si="2201"/>
        <v>0</v>
      </c>
      <c r="BHG27" s="43">
        <f t="shared" si="2202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203"/>
        <v>206</v>
      </c>
      <c r="BHO27" s="43">
        <f t="shared" si="2204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5"/>
        <v>296</v>
      </c>
      <c r="BHW27" s="43">
        <f t="shared" si="2206"/>
        <v>49.333333333333336</v>
      </c>
      <c r="BHX27" s="48"/>
      <c r="BHY27" s="49"/>
      <c r="BHZ27" s="49"/>
      <c r="BIA27" s="49"/>
      <c r="BIB27" s="49"/>
      <c r="BIC27" s="49"/>
      <c r="BID27" s="42">
        <f t="shared" si="2207"/>
        <v>0</v>
      </c>
      <c r="BIE27" s="43">
        <f t="shared" si="2208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9"/>
        <v>170</v>
      </c>
      <c r="BIM27" s="43">
        <f t="shared" si="2210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11"/>
        <v>400</v>
      </c>
      <c r="BIU27" s="43">
        <f t="shared" si="2212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13"/>
        <v>205</v>
      </c>
      <c r="BJC27" s="43">
        <f t="shared" si="2214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5"/>
        <v>279</v>
      </c>
      <c r="BJK27" s="43">
        <f t="shared" si="2216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7"/>
        <v>100</v>
      </c>
      <c r="BJS27" s="43">
        <f t="shared" si="2218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9"/>
        <v>221</v>
      </c>
      <c r="BKA27" s="43">
        <f t="shared" si="2220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21"/>
        <v>200</v>
      </c>
      <c r="BKI27" s="43">
        <f t="shared" si="2222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23"/>
        <v>394</v>
      </c>
      <c r="BKQ27" s="43">
        <f t="shared" si="2224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5"/>
        <v>100</v>
      </c>
      <c r="BKY27" s="43">
        <f t="shared" si="2226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7"/>
        <v>226</v>
      </c>
      <c r="BLG27" s="43">
        <f t="shared" si="2228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9"/>
        <v>299</v>
      </c>
      <c r="BLO27" s="68">
        <f t="shared" si="2230"/>
        <v>49.833333333333336</v>
      </c>
      <c r="BLP27" s="48"/>
      <c r="BLQ27" s="49"/>
      <c r="BLR27" s="49"/>
      <c r="BLS27" s="49"/>
      <c r="BLT27" s="49"/>
      <c r="BLU27" s="49"/>
      <c r="BLV27" s="67">
        <f t="shared" si="2231"/>
        <v>0</v>
      </c>
      <c r="BLW27" s="68">
        <f t="shared" si="2232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33"/>
        <v>300</v>
      </c>
      <c r="BME27" s="43">
        <f t="shared" si="2234"/>
        <v>50</v>
      </c>
      <c r="BMF27" s="48"/>
      <c r="BMG27" s="49"/>
      <c r="BMH27" s="49"/>
      <c r="BMI27" s="49"/>
      <c r="BMJ27" s="49"/>
      <c r="BMK27" s="49"/>
      <c r="BML27" s="67">
        <f t="shared" si="2235"/>
        <v>0</v>
      </c>
      <c r="BMM27" s="43">
        <f t="shared" si="2236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7"/>
        <v>320</v>
      </c>
      <c r="BMU27" s="43">
        <f t="shared" si="2238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9"/>
        <v>220</v>
      </c>
      <c r="BNC27" s="43">
        <f t="shared" si="2240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41"/>
        <v>100</v>
      </c>
      <c r="BNK27" s="184">
        <f t="shared" si="2242"/>
        <v>16.666666666666668</v>
      </c>
      <c r="BNL27" s="195"/>
      <c r="BNM27" s="49"/>
      <c r="BNN27" s="49"/>
      <c r="BNO27" s="49"/>
      <c r="BNP27" s="49"/>
      <c r="BNQ27" s="49"/>
      <c r="BNR27" s="67">
        <f t="shared" si="2243"/>
        <v>0</v>
      </c>
      <c r="BNS27" s="211">
        <f t="shared" si="2244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5"/>
        <v>100</v>
      </c>
      <c r="BOA27" s="184">
        <f t="shared" si="2246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7"/>
        <v>322</v>
      </c>
      <c r="BOI27" s="68">
        <f t="shared" si="2248"/>
        <v>53.666666666666664</v>
      </c>
      <c r="BOJ27" s="48"/>
      <c r="BOK27" s="49"/>
      <c r="BOL27" s="49"/>
      <c r="BOM27" s="49"/>
      <c r="BON27" s="49"/>
      <c r="BOO27" s="49"/>
      <c r="BOP27" s="67">
        <f t="shared" si="2249"/>
        <v>0</v>
      </c>
      <c r="BOQ27" s="68">
        <f t="shared" si="2250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51"/>
        <v>260</v>
      </c>
      <c r="BOY27" s="68">
        <f t="shared" si="2252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53"/>
        <v>400</v>
      </c>
      <c r="BPG27" s="68">
        <f t="shared" si="2254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5"/>
        <v>100</v>
      </c>
      <c r="BPO27" s="68">
        <f t="shared" si="2256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7"/>
        <v>200</v>
      </c>
      <c r="BPW27" s="68">
        <f t="shared" si="2258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9"/>
        <v>200</v>
      </c>
      <c r="BQE27" s="68">
        <f t="shared" si="2260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61"/>
        <v>200</v>
      </c>
      <c r="BQM27" s="68">
        <f t="shared" si="2262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63"/>
        <v>200</v>
      </c>
      <c r="BQU27" s="68">
        <f t="shared" si="2264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5"/>
        <v>158</v>
      </c>
      <c r="BRC27" s="68">
        <f t="shared" si="2266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7"/>
        <v>278</v>
      </c>
      <c r="BRK27" s="68">
        <f t="shared" si="2268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9"/>
        <v>481</v>
      </c>
      <c r="BRS27" s="68">
        <f t="shared" si="2270"/>
        <v>80.166666666666671</v>
      </c>
      <c r="BRT27" s="48"/>
      <c r="BRU27" s="49"/>
      <c r="BRV27" s="49"/>
      <c r="BRW27" s="49"/>
      <c r="BRX27" s="49"/>
      <c r="BRY27" s="49"/>
      <c r="BRZ27" s="67">
        <f t="shared" si="2271"/>
        <v>0</v>
      </c>
      <c r="BSA27" s="68">
        <f t="shared" si="2272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73"/>
        <v>100</v>
      </c>
      <c r="BSI27" s="68">
        <f t="shared" si="2274"/>
        <v>16.666666666666668</v>
      </c>
      <c r="BSJ27" s="48"/>
      <c r="BSK27" s="49"/>
      <c r="BSL27" s="49"/>
      <c r="BSM27" s="49"/>
      <c r="BSN27" s="49"/>
      <c r="BSO27" s="49"/>
      <c r="BSP27" s="67">
        <f t="shared" si="2275"/>
        <v>0</v>
      </c>
      <c r="BSQ27" s="68">
        <f t="shared" si="2276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7"/>
        <v>200</v>
      </c>
      <c r="BSY27" s="68">
        <f t="shared" si="2278"/>
        <v>33.333333333333336</v>
      </c>
      <c r="BSZ27" s="48"/>
      <c r="BTA27" s="49"/>
      <c r="BTB27" s="49"/>
      <c r="BTC27" s="49"/>
      <c r="BTD27" s="49"/>
      <c r="BTE27" s="49"/>
      <c r="BTF27" s="67">
        <f t="shared" si="2279"/>
        <v>0</v>
      </c>
      <c r="BTG27" s="68">
        <f t="shared" si="2280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81"/>
        <v>160</v>
      </c>
      <c r="BTO27" s="68">
        <f t="shared" si="2282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83"/>
        <v>402</v>
      </c>
      <c r="BTW27" s="68">
        <f t="shared" si="2284"/>
        <v>67</v>
      </c>
      <c r="BTX27" s="48"/>
      <c r="BTY27" s="49"/>
      <c r="BTZ27" s="49"/>
      <c r="BUA27" s="49"/>
      <c r="BUB27" s="49"/>
      <c r="BUC27" s="49"/>
      <c r="BUD27" s="67">
        <f t="shared" si="2285"/>
        <v>0</v>
      </c>
      <c r="BUE27" s="68">
        <f t="shared" si="2286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7"/>
        <v>100</v>
      </c>
      <c r="BUM27" s="68">
        <f t="shared" si="2288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9"/>
        <v>100</v>
      </c>
      <c r="BUU27" s="68">
        <f t="shared" si="2290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91"/>
        <v>109</v>
      </c>
      <c r="BVC27" s="68">
        <f t="shared" si="2292"/>
        <v>18.166666666666668</v>
      </c>
      <c r="BVD27" s="48"/>
      <c r="BVE27" s="49"/>
      <c r="BVF27" s="49"/>
      <c r="BVG27" s="49"/>
      <c r="BVH27" s="49"/>
      <c r="BVI27" s="49"/>
      <c r="BVJ27" s="67">
        <f t="shared" si="2293"/>
        <v>0</v>
      </c>
      <c r="BVK27" s="68">
        <f t="shared" si="2294"/>
        <v>0</v>
      </c>
      <c r="BVL27" s="48"/>
      <c r="BVM27" s="49"/>
      <c r="BVN27" s="49"/>
      <c r="BVO27" s="49"/>
      <c r="BVP27" s="49"/>
      <c r="BVQ27" s="49"/>
      <c r="BVR27" s="67">
        <f t="shared" si="2295"/>
        <v>0</v>
      </c>
      <c r="BVS27" s="68">
        <f t="shared" si="2296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7"/>
        <v>100</v>
      </c>
      <c r="BWA27" s="68">
        <f t="shared" si="2298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9"/>
        <v>200</v>
      </c>
      <c r="BWI27" s="68">
        <f t="shared" si="2300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301"/>
        <v>20</v>
      </c>
      <c r="BWQ27" s="68">
        <f t="shared" si="2302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303"/>
        <v>202</v>
      </c>
      <c r="BWY27" s="68">
        <f t="shared" si="2304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5"/>
        <v>160</v>
      </c>
      <c r="BXG27" s="68">
        <f t="shared" si="2306"/>
        <v>26.666666666666668</v>
      </c>
      <c r="BXH27" s="48"/>
      <c r="BXI27" s="49"/>
      <c r="BXJ27" s="49"/>
      <c r="BXK27" s="49"/>
      <c r="BXL27" s="49"/>
      <c r="BXM27" s="49"/>
      <c r="BXN27" s="67">
        <f t="shared" si="2307"/>
        <v>0</v>
      </c>
      <c r="BXO27" s="68">
        <f t="shared" si="2308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9"/>
        <v>220</v>
      </c>
      <c r="BXW27" s="68">
        <f t="shared" si="2310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11"/>
        <v>110</v>
      </c>
      <c r="BYE27" s="68">
        <f t="shared" si="2312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13"/>
        <v>200</v>
      </c>
      <c r="BYM27" s="68">
        <f t="shared" si="2314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5"/>
        <v>19</v>
      </c>
      <c r="BYU27" s="68">
        <f t="shared" si="2316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7"/>
        <v>110</v>
      </c>
      <c r="BZC27" s="68">
        <f t="shared" si="2318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9"/>
        <v>200</v>
      </c>
      <c r="BZK27" s="68">
        <f t="shared" si="2320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21"/>
        <v>220</v>
      </c>
      <c r="BZS27" s="68">
        <f t="shared" si="2322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23"/>
        <v>110</v>
      </c>
      <c r="CAA27" s="68">
        <f t="shared" si="2324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5"/>
        <v>220</v>
      </c>
      <c r="CAI27" s="68">
        <f t="shared" si="2326"/>
        <v>36.666666666666664</v>
      </c>
      <c r="CAJ27" s="48"/>
      <c r="CAK27" s="49"/>
      <c r="CAL27" s="49"/>
      <c r="CAM27" s="49"/>
      <c r="CAN27" s="49"/>
      <c r="CAO27" s="49"/>
      <c r="CAP27" s="67">
        <f t="shared" si="2327"/>
        <v>0</v>
      </c>
      <c r="CAQ27" s="68">
        <f t="shared" si="2328"/>
        <v>0</v>
      </c>
      <c r="CAR27" s="201"/>
      <c r="CAS27" s="47"/>
      <c r="CAT27" s="47"/>
      <c r="CAU27" s="47"/>
      <c r="CAV27" s="47"/>
      <c r="CAW27" s="47"/>
      <c r="CAX27" s="67">
        <f t="shared" si="2329"/>
        <v>0</v>
      </c>
      <c r="CAY27" s="68">
        <f t="shared" si="2330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31"/>
        <v>226</v>
      </c>
      <c r="CBG27" s="68">
        <f t="shared" si="2332"/>
        <v>37.666666666666664</v>
      </c>
      <c r="CBH27" s="48"/>
      <c r="CBI27" s="49"/>
      <c r="CBJ27" s="49"/>
      <c r="CBK27" s="49"/>
      <c r="CBL27" s="49"/>
      <c r="CBM27" s="49"/>
      <c r="CBN27" s="67">
        <f t="shared" si="2333"/>
        <v>0</v>
      </c>
      <c r="CBO27" s="68">
        <f t="shared" si="2334"/>
        <v>0</v>
      </c>
      <c r="CBP27" s="48"/>
      <c r="CBQ27" s="49"/>
      <c r="CBR27" s="49"/>
      <c r="CBS27" s="49"/>
      <c r="CBT27" s="49"/>
      <c r="CBU27" s="49"/>
      <c r="CBV27" s="67">
        <f t="shared" si="2335"/>
        <v>0</v>
      </c>
      <c r="CBW27" s="68">
        <f t="shared" si="2336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7"/>
        <v>112</v>
      </c>
      <c r="CCE27" s="68">
        <f t="shared" si="2338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9"/>
        <v>109</v>
      </c>
      <c r="CCM27" s="68">
        <f t="shared" si="2340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41"/>
        <v>91</v>
      </c>
      <c r="CCU27" s="68">
        <f t="shared" si="2342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43"/>
        <v>270</v>
      </c>
      <c r="CDC27" s="68">
        <f t="shared" si="2344"/>
        <v>45</v>
      </c>
      <c r="CDD27" s="201"/>
      <c r="CDE27" s="47"/>
      <c r="CDF27" s="47"/>
      <c r="CDG27" s="47"/>
      <c r="CDH27" s="47"/>
      <c r="CDI27" s="47"/>
      <c r="CDJ27" s="67">
        <f t="shared" si="2345"/>
        <v>0</v>
      </c>
      <c r="CDK27" s="68">
        <f t="shared" si="2346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7"/>
        <v>221</v>
      </c>
      <c r="CDS27" s="68">
        <f t="shared" si="2348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9"/>
        <v>76</v>
      </c>
      <c r="CEA27" s="68">
        <f t="shared" si="2350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51"/>
        <v>220</v>
      </c>
      <c r="CEI27" s="184">
        <f t="shared" si="2352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53"/>
        <v>112</v>
      </c>
      <c r="CEQ27" s="68">
        <f t="shared" si="2354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5"/>
        <v>110</v>
      </c>
      <c r="CFE27" s="68">
        <f t="shared" si="2356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7"/>
        <v>324</v>
      </c>
      <c r="CFM27" s="68">
        <f t="shared" si="2358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9"/>
        <v>0</v>
      </c>
      <c r="CFU27" s="68">
        <f t="shared" si="2360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61"/>
        <v>61</v>
      </c>
      <c r="CGC27" s="68">
        <f t="shared" si="2362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63"/>
        <v>110</v>
      </c>
      <c r="CGK27" s="68">
        <f t="shared" si="2364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5"/>
        <v>150</v>
      </c>
      <c r="CGS27" s="68">
        <f t="shared" si="2366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7"/>
        <v>108</v>
      </c>
      <c r="CHA27" s="68">
        <f t="shared" si="2368"/>
        <v>18</v>
      </c>
      <c r="CHB27" s="48"/>
      <c r="CHC27" s="49"/>
      <c r="CHD27" s="49"/>
      <c r="CHE27" s="49"/>
      <c r="CHF27" s="49"/>
      <c r="CHG27" s="49"/>
      <c r="CHH27" s="64">
        <f t="shared" si="2369"/>
        <v>0</v>
      </c>
      <c r="CHI27" s="68">
        <f t="shared" si="2370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71"/>
        <v>0</v>
      </c>
      <c r="CHQ27" s="68">
        <f t="shared" si="2372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73"/>
        <v>302</v>
      </c>
      <c r="CHY27" s="68">
        <f t="shared" si="2374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5"/>
        <v>0</v>
      </c>
      <c r="CIG27" s="68">
        <f t="shared" si="2376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7"/>
        <v>322</v>
      </c>
      <c r="CIO27" s="68">
        <f t="shared" si="2378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9"/>
        <v>110</v>
      </c>
      <c r="CIW27" s="68">
        <f t="shared" si="2380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81"/>
        <v>435</v>
      </c>
      <c r="CJE27" s="43">
        <f t="shared" si="2382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83"/>
        <v>360</v>
      </c>
      <c r="CJM27" s="43">
        <f t="shared" si="2384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5"/>
        <v>110</v>
      </c>
      <c r="CJU27" s="43">
        <f t="shared" si="2386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7"/>
        <v>42</v>
      </c>
      <c r="CKC27" s="43">
        <f t="shared" si="2388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9"/>
        <v>221</v>
      </c>
      <c r="CKK27" s="43">
        <f t="shared" si="2390"/>
        <v>44.2</v>
      </c>
      <c r="CKL27" s="48"/>
      <c r="CKM27" s="49"/>
      <c r="CKN27" s="49"/>
      <c r="CKO27" s="49"/>
      <c r="CKP27" s="49"/>
      <c r="CKQ27" s="49"/>
      <c r="CKR27" s="127">
        <f t="shared" si="2391"/>
        <v>0</v>
      </c>
      <c r="CKS27" s="43">
        <f t="shared" si="2392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93"/>
        <v>0</v>
      </c>
      <c r="CLA27" s="43">
        <f t="shared" si="2394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5"/>
        <v>260</v>
      </c>
      <c r="CLI27" s="43">
        <f t="shared" si="2396"/>
        <v>43.333333333333336</v>
      </c>
      <c r="CLJ27" s="48"/>
      <c r="CLK27" s="49"/>
      <c r="CLL27" s="49"/>
      <c r="CLM27" s="49"/>
      <c r="CLN27" s="49"/>
      <c r="CLO27" s="49"/>
      <c r="CLP27" s="127">
        <f t="shared" si="2397"/>
        <v>0</v>
      </c>
      <c r="CLQ27" s="43">
        <f t="shared" si="2398"/>
        <v>0</v>
      </c>
      <c r="CLR27" s="48"/>
      <c r="CLS27" s="49"/>
      <c r="CLT27" s="49"/>
      <c r="CLU27" s="49"/>
      <c r="CLV27" s="49"/>
      <c r="CLW27" s="49"/>
      <c r="CLX27" s="127">
        <f t="shared" si="2399"/>
        <v>0</v>
      </c>
      <c r="CLY27" s="43">
        <f t="shared" si="2400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401"/>
        <v>100</v>
      </c>
      <c r="CMG27" s="43">
        <f t="shared" si="2402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403"/>
        <v>210</v>
      </c>
      <c r="CMO27" s="43">
        <f t="shared" si="2404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5"/>
        <v>110</v>
      </c>
      <c r="CMW27" s="43">
        <f t="shared" si="2406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7"/>
        <v>110</v>
      </c>
      <c r="CNE27" s="68">
        <f t="shared" si="2408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9"/>
        <v>0</v>
      </c>
      <c r="CNM27" s="68">
        <f t="shared" si="2410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11"/>
        <v>267</v>
      </c>
      <c r="CNU27" s="68">
        <f t="shared" si="2412"/>
        <v>44.5</v>
      </c>
      <c r="CNV27" s="48"/>
      <c r="CNW27" s="49"/>
      <c r="CNX27" s="49"/>
      <c r="CNY27" s="49"/>
      <c r="CNZ27" s="49"/>
      <c r="COA27" s="49"/>
      <c r="COB27" s="64">
        <f t="shared" si="2413"/>
        <v>0</v>
      </c>
      <c r="COC27" s="68">
        <f t="shared" si="2414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5"/>
        <v>0</v>
      </c>
      <c r="COK27" s="68">
        <f t="shared" si="2416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7"/>
        <v>151</v>
      </c>
      <c r="COS27" s="68">
        <f t="shared" si="2418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9"/>
        <v>80</v>
      </c>
      <c r="CPA27" s="68">
        <f t="shared" si="2420"/>
        <v>13.333333333333334</v>
      </c>
      <c r="CPB27" s="48"/>
      <c r="CPC27" s="49"/>
      <c r="CPD27" s="49"/>
      <c r="CPE27" s="49"/>
      <c r="CPF27" s="49"/>
      <c r="CPG27" s="49"/>
      <c r="CPH27" s="64">
        <f t="shared" si="2421"/>
        <v>0</v>
      </c>
      <c r="CPI27" s="68">
        <f t="shared" si="2422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23"/>
        <v>220</v>
      </c>
      <c r="CPQ27" s="68">
        <f t="shared" si="2424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5"/>
        <v>110</v>
      </c>
      <c r="CPY27" s="68">
        <f t="shared" si="2426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7"/>
        <v>110</v>
      </c>
      <c r="CQG27" s="68">
        <f t="shared" si="2428"/>
        <v>18.333333333333332</v>
      </c>
      <c r="CQH27" s="48"/>
      <c r="CQI27" s="49"/>
      <c r="CQJ27" s="49"/>
      <c r="CQK27" s="49"/>
      <c r="CQL27" s="49"/>
      <c r="CQM27" s="49"/>
      <c r="CQN27" s="127">
        <f t="shared" si="2429"/>
        <v>0</v>
      </c>
      <c r="CQO27" s="43">
        <f t="shared" si="2430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31"/>
        <v>110</v>
      </c>
      <c r="CQW27" s="43">
        <f t="shared" si="2432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33"/>
        <v>100</v>
      </c>
      <c r="CRE27" s="43">
        <f t="shared" si="2434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5"/>
        <v>79</v>
      </c>
      <c r="CRM27" s="43">
        <f t="shared" si="2436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7"/>
        <v>221</v>
      </c>
      <c r="CRU27" s="43">
        <f t="shared" si="2438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9"/>
        <v>220</v>
      </c>
      <c r="CSC27" s="43">
        <f t="shared" si="2440"/>
        <v>36.666666666666664</v>
      </c>
      <c r="CSD27" s="48"/>
      <c r="CSE27" s="49"/>
      <c r="CSF27" s="49"/>
      <c r="CSG27" s="49"/>
      <c r="CSH27" s="49"/>
      <c r="CSI27" s="49"/>
      <c r="CSJ27" s="127">
        <f t="shared" si="2441"/>
        <v>0</v>
      </c>
      <c r="CSK27" s="43">
        <f t="shared" si="2442"/>
        <v>0</v>
      </c>
      <c r="CSL27" s="48"/>
      <c r="CSM27" s="49"/>
      <c r="CSN27" s="49"/>
      <c r="CSO27" s="49"/>
      <c r="CSP27" s="49"/>
      <c r="CSQ27" s="49"/>
      <c r="CSR27" s="127">
        <f t="shared" si="2443"/>
        <v>0</v>
      </c>
      <c r="CSS27" s="43">
        <f t="shared" si="2444"/>
        <v>0</v>
      </c>
      <c r="CST27" s="48"/>
      <c r="CSU27" s="49"/>
      <c r="CSV27" s="49"/>
      <c r="CSW27" s="49"/>
      <c r="CSX27" s="49"/>
      <c r="CSY27" s="49"/>
      <c r="CSZ27" s="127">
        <f t="shared" si="2445"/>
        <v>0</v>
      </c>
      <c r="CTA27" s="43">
        <f t="shared" si="2446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7"/>
        <v>220</v>
      </c>
      <c r="CTI27" s="43">
        <f t="shared" si="2448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9"/>
        <v>110</v>
      </c>
      <c r="CTQ27" s="68">
        <f t="shared" si="2450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51"/>
        <v>0</v>
      </c>
      <c r="CTY27" s="68">
        <f t="shared" si="2452"/>
        <v>0</v>
      </c>
      <c r="CTZ27" s="48"/>
      <c r="CUA27" s="49"/>
      <c r="CUB27" s="49"/>
      <c r="CUC27" s="49"/>
      <c r="CUD27" s="49"/>
      <c r="CUE27" s="49"/>
      <c r="CUF27" s="64">
        <f t="shared" si="2453"/>
        <v>0</v>
      </c>
      <c r="CUG27" s="68">
        <f t="shared" si="2454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5"/>
        <v>229</v>
      </c>
      <c r="CUO27" s="68">
        <f t="shared" si="2456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7"/>
        <v>0</v>
      </c>
      <c r="CUW27" s="68">
        <f t="shared" si="2458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9"/>
        <v>221</v>
      </c>
      <c r="CVE27" s="68">
        <f t="shared" si="2460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61"/>
        <v>110</v>
      </c>
      <c r="CVM27" s="68">
        <f t="shared" si="2462"/>
        <v>18.333333333333332</v>
      </c>
      <c r="CVN27" s="48"/>
      <c r="CVO27" s="49"/>
      <c r="CVP27" s="49"/>
      <c r="CVQ27" s="49"/>
      <c r="CVR27" s="49"/>
      <c r="CVS27" s="49"/>
      <c r="CVT27" s="64">
        <f t="shared" si="2463"/>
        <v>0</v>
      </c>
      <c r="CVU27" s="68">
        <f t="shared" si="2464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5"/>
        <v>110</v>
      </c>
      <c r="CWC27" s="68">
        <f t="shared" si="2466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7"/>
        <v>110</v>
      </c>
      <c r="CWK27" s="68">
        <f t="shared" si="2468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9"/>
        <v>110</v>
      </c>
      <c r="CWS27" s="68">
        <f t="shared" si="2470"/>
        <v>18.333333333333332</v>
      </c>
      <c r="CWT27" s="48"/>
      <c r="CWU27" s="49"/>
      <c r="CWV27" s="49"/>
      <c r="CWW27" s="49"/>
      <c r="CWX27" s="49"/>
      <c r="CWY27" s="49"/>
      <c r="CWZ27" s="64">
        <f t="shared" si="2471"/>
        <v>0</v>
      </c>
      <c r="CXA27" s="68">
        <f t="shared" si="2472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73"/>
        <v>100</v>
      </c>
      <c r="CXI27" s="68">
        <f t="shared" si="2474"/>
        <v>16.666666666666668</v>
      </c>
      <c r="CXJ27" s="48"/>
      <c r="CXK27" s="49"/>
      <c r="CXL27" s="49"/>
      <c r="CXM27" s="49"/>
      <c r="CXN27" s="49"/>
      <c r="CXO27" s="49"/>
      <c r="CXP27" s="64">
        <f t="shared" si="2475"/>
        <v>0</v>
      </c>
      <c r="CXQ27" s="68">
        <f t="shared" si="2476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7"/>
        <v>220</v>
      </c>
      <c r="CXY27" s="68">
        <f t="shared" si="2478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9"/>
        <v>380</v>
      </c>
      <c r="CYG27" s="68">
        <f t="shared" si="2480"/>
        <v>63.333333333333336</v>
      </c>
      <c r="CYH27" s="48"/>
      <c r="CYI27" s="49"/>
      <c r="CYJ27" s="49"/>
      <c r="CYK27" s="49"/>
      <c r="CYL27" s="49"/>
      <c r="CYM27" s="49"/>
      <c r="CYN27" s="64">
        <f t="shared" si="2481"/>
        <v>0</v>
      </c>
      <c r="CYO27" s="68">
        <f t="shared" si="2482"/>
        <v>0</v>
      </c>
      <c r="CYP27" s="48"/>
      <c r="CYQ27" s="49"/>
      <c r="CYR27" s="49"/>
      <c r="CYS27" s="49"/>
      <c r="CYT27" s="49"/>
      <c r="CYU27" s="49"/>
      <c r="CYV27" s="64">
        <f t="shared" si="2483"/>
        <v>0</v>
      </c>
      <c r="CYW27" s="68">
        <f t="shared" si="2484"/>
        <v>0</v>
      </c>
      <c r="CYX27" s="48"/>
      <c r="CYY27" s="49"/>
      <c r="CYZ27" s="49"/>
      <c r="CZA27" s="49"/>
      <c r="CZB27" s="49"/>
      <c r="CZC27" s="49"/>
      <c r="CZD27" s="64">
        <f t="shared" si="2485"/>
        <v>0</v>
      </c>
      <c r="CZE27" s="68">
        <f t="shared" si="2486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3"/>
        <v>419</v>
      </c>
      <c r="CZM27" s="68">
        <f t="shared" si="1654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5"/>
        <v>0</v>
      </c>
      <c r="CZU27" s="68">
        <f t="shared" si="1656"/>
        <v>0</v>
      </c>
      <c r="CZV27" s="48"/>
      <c r="CZW27" s="49"/>
      <c r="CZX27" s="49"/>
      <c r="CZY27" s="49"/>
      <c r="CZZ27" s="49"/>
      <c r="DAA27" s="49"/>
      <c r="DAB27" s="64">
        <f t="shared" si="1657"/>
        <v>0</v>
      </c>
      <c r="DAC27" s="68">
        <f t="shared" si="1658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9"/>
        <v>100</v>
      </c>
      <c r="DAK27" s="68">
        <f t="shared" si="1660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61"/>
        <v>200</v>
      </c>
      <c r="DAS27" s="68">
        <f t="shared" si="1662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3"/>
        <v>0</v>
      </c>
      <c r="DBA27" s="68">
        <f t="shared" si="1664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5"/>
        <v>100</v>
      </c>
      <c r="DBI27" s="492">
        <f t="shared" si="1666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7"/>
        <v>199</v>
      </c>
      <c r="DBQ27" s="68">
        <f t="shared" si="1668"/>
        <v>33.166666666666664</v>
      </c>
      <c r="DBR27" s="48"/>
      <c r="DBS27" s="49"/>
      <c r="DBT27" s="49"/>
      <c r="DBU27" s="49"/>
      <c r="DBV27" s="49"/>
      <c r="DBW27" s="49"/>
      <c r="DBX27" s="64">
        <f t="shared" si="1669"/>
        <v>0</v>
      </c>
      <c r="DBY27" s="68">
        <f t="shared" si="1670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71"/>
        <v>241</v>
      </c>
      <c r="DCG27" s="492">
        <f t="shared" si="1672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3"/>
        <v>0</v>
      </c>
      <c r="DCO27" s="68">
        <f t="shared" si="1674"/>
        <v>0</v>
      </c>
      <c r="DCP27" s="48"/>
      <c r="DCQ27" s="49"/>
      <c r="DCR27" s="49"/>
      <c r="DCS27" s="49"/>
      <c r="DCT27" s="49"/>
      <c r="DCU27" s="49"/>
      <c r="DCV27" s="491">
        <f t="shared" si="1675"/>
        <v>0</v>
      </c>
      <c r="DCW27" s="492">
        <f t="shared" si="1676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7"/>
        <v>50</v>
      </c>
      <c r="DDE27" s="492">
        <f t="shared" si="1678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9"/>
        <v>110</v>
      </c>
      <c r="DDM27" s="492">
        <f t="shared" si="1680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81"/>
        <v>222</v>
      </c>
      <c r="DDU27" s="68">
        <f t="shared" si="1682"/>
        <v>37</v>
      </c>
      <c r="DDV27" s="48"/>
      <c r="DDW27" s="49"/>
      <c r="DDX27" s="49"/>
      <c r="DDY27" s="49"/>
      <c r="DDZ27" s="49"/>
      <c r="DEA27" s="49"/>
      <c r="DEB27" s="491">
        <f t="shared" si="1683"/>
        <v>0</v>
      </c>
      <c r="DEC27" s="492">
        <f t="shared" si="1684"/>
        <v>0</v>
      </c>
      <c r="DED27" s="48"/>
      <c r="DEE27" s="49"/>
      <c r="DEF27" s="49"/>
      <c r="DEG27" s="49"/>
      <c r="DEH27" s="49"/>
      <c r="DEI27" s="49"/>
      <c r="DEJ27" s="491">
        <f t="shared" si="1685"/>
        <v>0</v>
      </c>
      <c r="DEK27" s="492">
        <f t="shared" si="1686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7"/>
        <v>222</v>
      </c>
      <c r="DES27" s="68">
        <f t="shared" si="1688"/>
        <v>37</v>
      </c>
      <c r="DET27" s="63"/>
      <c r="DEU27" s="64"/>
      <c r="DEV27" s="64"/>
      <c r="DEW27" s="64"/>
      <c r="DEX27" s="64"/>
      <c r="DEY27" s="64"/>
      <c r="DEZ27" s="491">
        <f t="shared" si="1689"/>
        <v>0</v>
      </c>
      <c r="DFA27" s="492">
        <f t="shared" si="1690"/>
        <v>0</v>
      </c>
      <c r="DFB27" s="82"/>
      <c r="DFC27" s="83"/>
      <c r="DFD27" s="83"/>
      <c r="DFE27" s="83"/>
      <c r="DFF27" s="83"/>
      <c r="DFG27" s="83"/>
      <c r="DFH27" s="64">
        <f t="shared" si="1691"/>
        <v>0</v>
      </c>
      <c r="DFI27" s="68">
        <f t="shared" si="1692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3"/>
        <v>0</v>
      </c>
      <c r="DFQ27" s="68">
        <f t="shared" si="1694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5"/>
        <v>0</v>
      </c>
      <c r="DFY27" s="68">
        <f t="shared" si="1696"/>
        <v>0</v>
      </c>
      <c r="DFZ27" s="48"/>
      <c r="DGA27" s="49"/>
      <c r="DGB27" s="49"/>
      <c r="DGC27" s="49"/>
      <c r="DGD27" s="49"/>
      <c r="DGE27" s="49"/>
      <c r="DGF27" s="64">
        <f t="shared" si="1697"/>
        <v>0</v>
      </c>
      <c r="DGG27" s="68">
        <f t="shared" si="1698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9"/>
        <v>0</v>
      </c>
      <c r="DGO27" s="68">
        <f t="shared" si="1700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701"/>
        <v>50</v>
      </c>
      <c r="DGW27" s="68">
        <f t="shared" si="1702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3"/>
        <v>100</v>
      </c>
      <c r="DHE27" s="68">
        <f t="shared" si="1704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5"/>
        <v>190</v>
      </c>
      <c r="DHM27" s="68">
        <f t="shared" si="1706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7"/>
        <v>0</v>
      </c>
      <c r="DHU27" s="68">
        <f t="shared" si="1708"/>
        <v>0</v>
      </c>
      <c r="DHV27" s="48"/>
      <c r="DHW27" s="49"/>
      <c r="DHX27" s="49"/>
      <c r="DHY27" s="49"/>
      <c r="DHZ27" s="49"/>
      <c r="DIA27" s="49"/>
      <c r="DIB27" s="64">
        <f t="shared" si="1709"/>
        <v>0</v>
      </c>
      <c r="DIC27" s="68">
        <f t="shared" si="1710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11"/>
        <v>150</v>
      </c>
      <c r="DIK27" s="184">
        <f t="shared" si="1712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3"/>
        <v>105</v>
      </c>
      <c r="DIS27" s="184">
        <f t="shared" si="1714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5"/>
        <v>110</v>
      </c>
      <c r="DJA27" s="68">
        <f t="shared" si="1716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7"/>
        <v>51</v>
      </c>
      <c r="DJI27" s="68">
        <f t="shared" si="2488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9"/>
        <v>210</v>
      </c>
      <c r="DJQ27" s="68">
        <f t="shared" si="2490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91"/>
        <v>0</v>
      </c>
      <c r="DJY27" s="68">
        <f t="shared" si="2492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93"/>
        <v>110</v>
      </c>
      <c r="DKG27" s="68">
        <f t="shared" si="2494"/>
        <v>18.333333333333332</v>
      </c>
      <c r="DKH27" s="48"/>
      <c r="DKI27" s="49"/>
      <c r="DKJ27" s="49"/>
      <c r="DKK27" s="49"/>
      <c r="DKL27" s="49"/>
      <c r="DKM27" s="49"/>
      <c r="DKN27" s="64">
        <f t="shared" si="2495"/>
        <v>0</v>
      </c>
      <c r="DKO27" s="68">
        <f t="shared" si="2496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7"/>
        <v>50</v>
      </c>
      <c r="DKW27" s="184">
        <f t="shared" si="2498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9"/>
        <v>130</v>
      </c>
      <c r="DLE27" s="184">
        <f t="shared" si="2500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501"/>
        <v>0</v>
      </c>
      <c r="DLM27" s="68">
        <f t="shared" si="2502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503"/>
        <v>176</v>
      </c>
      <c r="DLU27" s="68">
        <f t="shared" si="2504"/>
        <v>29.333333333333332</v>
      </c>
      <c r="DLV27" s="48"/>
      <c r="DLW27" s="49"/>
      <c r="DLX27" s="49"/>
      <c r="DLY27" s="49"/>
      <c r="DLZ27" s="49"/>
      <c r="DMA27" s="49"/>
      <c r="DMB27" s="64">
        <f t="shared" si="2505"/>
        <v>0</v>
      </c>
      <c r="DMC27" s="68">
        <f t="shared" si="2506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7"/>
        <v>0</v>
      </c>
      <c r="DMK27" s="68">
        <f t="shared" si="2508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9"/>
        <v>101</v>
      </c>
      <c r="DMS27" s="68">
        <f t="shared" si="2510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11"/>
        <v>100</v>
      </c>
      <c r="DNA27" s="68">
        <f t="shared" si="2512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13"/>
        <v>0</v>
      </c>
      <c r="DNI27" s="68">
        <f t="shared" si="2514"/>
        <v>0</v>
      </c>
      <c r="DNJ27" s="48"/>
      <c r="DNK27" s="49"/>
      <c r="DNL27" s="49"/>
      <c r="DNM27" s="49"/>
      <c r="DNN27" s="49"/>
      <c r="DNO27" s="49"/>
      <c r="DNP27" s="64">
        <f t="shared" si="2515"/>
        <v>0</v>
      </c>
      <c r="DNQ27" s="68">
        <f t="shared" si="2516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7"/>
        <v>303</v>
      </c>
      <c r="DNY27" s="68">
        <f t="shared" si="2518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9"/>
        <v>0</v>
      </c>
      <c r="DOG27" s="68">
        <f t="shared" si="2520"/>
        <v>0</v>
      </c>
      <c r="DOH27" s="48"/>
      <c r="DOI27" s="49"/>
      <c r="DOJ27" s="49"/>
      <c r="DOK27" s="49"/>
      <c r="DOL27" s="49"/>
      <c r="DOM27" s="49"/>
      <c r="DON27" s="64">
        <f t="shared" si="2521"/>
        <v>0</v>
      </c>
      <c r="DOO27" s="68">
        <f t="shared" si="2522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23"/>
        <v>100</v>
      </c>
      <c r="DOW27" s="68">
        <f t="shared" si="2524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5"/>
        <v>0</v>
      </c>
      <c r="DPE27" s="68">
        <f t="shared" si="2526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7"/>
        <v>0</v>
      </c>
      <c r="DPM27" s="68">
        <f t="shared" si="2528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9"/>
        <v>110</v>
      </c>
      <c r="DPU27" s="68">
        <f t="shared" si="2530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31"/>
        <v>100</v>
      </c>
      <c r="DQC27" s="68">
        <f t="shared" si="2532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33"/>
        <v>110</v>
      </c>
      <c r="DQK27" s="68">
        <f t="shared" si="2534"/>
        <v>18.333333333333332</v>
      </c>
      <c r="DQL27" s="48"/>
      <c r="DQM27" s="49"/>
      <c r="DQN27" s="49"/>
      <c r="DQO27" s="49"/>
      <c r="DQP27" s="49"/>
      <c r="DQQ27" s="49"/>
      <c r="DQR27" s="64">
        <f t="shared" si="2535"/>
        <v>0</v>
      </c>
      <c r="DQS27" s="68">
        <f t="shared" si="2536"/>
        <v>0</v>
      </c>
      <c r="DQT27" s="48"/>
      <c r="DQU27" s="49"/>
      <c r="DQV27" s="49"/>
      <c r="DQW27" s="49"/>
      <c r="DQX27" s="49"/>
      <c r="DQY27" s="49"/>
      <c r="DQZ27" s="64">
        <f t="shared" si="2537"/>
        <v>0</v>
      </c>
      <c r="DRA27" s="68">
        <f t="shared" si="2538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9"/>
        <v>100</v>
      </c>
      <c r="DRI27" s="68">
        <f t="shared" si="2540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41"/>
        <v>0</v>
      </c>
      <c r="DRQ27" s="68">
        <f t="shared" si="2542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43"/>
        <v>100</v>
      </c>
      <c r="DRY27" s="68">
        <f t="shared" si="2544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5"/>
        <v>219</v>
      </c>
      <c r="DSG27" s="68">
        <f t="shared" si="2546"/>
        <v>36.5</v>
      </c>
      <c r="DSH27" s="48"/>
      <c r="DSI27" s="49"/>
      <c r="DSJ27" s="49"/>
      <c r="DSK27" s="49"/>
      <c r="DSL27" s="49"/>
      <c r="DSM27" s="49"/>
      <c r="DSN27" s="64">
        <f t="shared" si="2547"/>
        <v>0</v>
      </c>
      <c r="DSO27" s="68">
        <f t="shared" si="2548"/>
        <v>0</v>
      </c>
      <c r="DSP27" s="48"/>
      <c r="DSQ27" s="49"/>
      <c r="DSR27" s="49"/>
      <c r="DSS27" s="49"/>
      <c r="DST27" s="49"/>
      <c r="DSU27" s="49"/>
      <c r="DSV27" s="64">
        <f t="shared" si="2549"/>
        <v>0</v>
      </c>
      <c r="DSW27" s="68">
        <f t="shared" si="2550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51"/>
        <v>0</v>
      </c>
      <c r="DTE27" s="68">
        <f t="shared" si="2552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53"/>
        <v>0</v>
      </c>
      <c r="DTU27" s="68">
        <f t="shared" si="2554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5"/>
        <v>100</v>
      </c>
      <c r="DUC27" s="68">
        <f t="shared" si="2556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7"/>
        <v>0</v>
      </c>
      <c r="DUK27" s="68">
        <f t="shared" si="2558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9"/>
        <v>0</v>
      </c>
      <c r="DUS27" s="68">
        <f t="shared" si="2560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61"/>
        <v>235</v>
      </c>
      <c r="DVA27" s="68">
        <f t="shared" si="2562"/>
        <v>39.166666666666664</v>
      </c>
      <c r="DVB27" s="48"/>
      <c r="DVC27" s="49"/>
      <c r="DVD27" s="49"/>
      <c r="DVE27" s="49"/>
      <c r="DVF27" s="49"/>
      <c r="DVG27" s="49"/>
      <c r="DVH27" s="64">
        <f t="shared" si="2563"/>
        <v>0</v>
      </c>
      <c r="DVI27" s="68">
        <f t="shared" si="2564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5"/>
        <v>113</v>
      </c>
      <c r="DVQ27" s="68">
        <f t="shared" si="2566"/>
        <v>18.833333333333332</v>
      </c>
      <c r="DVR27" s="201"/>
      <c r="DVS27" s="47"/>
      <c r="DVT27" s="47"/>
      <c r="DVU27" s="47"/>
      <c r="DVV27" s="47"/>
      <c r="DVW27" s="47"/>
      <c r="DVX27" s="64">
        <f t="shared" si="2567"/>
        <v>0</v>
      </c>
      <c r="DVY27" s="68">
        <f t="shared" si="2568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9"/>
        <v>207</v>
      </c>
      <c r="DWG27" s="68">
        <f t="shared" si="2570"/>
        <v>34.5</v>
      </c>
      <c r="DWH27" s="48"/>
      <c r="DWI27" s="49"/>
      <c r="DWJ27" s="49"/>
      <c r="DWK27" s="49"/>
      <c r="DWL27" s="49"/>
      <c r="DWM27" s="49"/>
      <c r="DWN27" s="64">
        <f t="shared" si="2571"/>
        <v>0</v>
      </c>
      <c r="DWO27" s="68">
        <f t="shared" si="2572"/>
        <v>0</v>
      </c>
      <c r="DWP27" s="48"/>
      <c r="DWQ27" s="49"/>
      <c r="DWR27" s="49"/>
      <c r="DWS27" s="49"/>
      <c r="DWT27" s="49"/>
      <c r="DWU27" s="49"/>
      <c r="DWV27" s="64">
        <f t="shared" si="2573"/>
        <v>0</v>
      </c>
      <c r="DWW27" s="68">
        <f t="shared" si="2574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5"/>
        <v>209</v>
      </c>
      <c r="DXE27" s="68">
        <f t="shared" si="2576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7"/>
        <v>83</v>
      </c>
      <c r="DXM27" s="68">
        <f t="shared" si="2578"/>
        <v>13.833333333333334</v>
      </c>
      <c r="DXN27" s="48"/>
      <c r="DXO27" s="49"/>
      <c r="DXP27" s="49"/>
      <c r="DXQ27" s="49"/>
      <c r="DXR27" s="49"/>
      <c r="DXS27" s="49"/>
      <c r="DXT27" s="64">
        <f t="shared" si="2579"/>
        <v>0</v>
      </c>
      <c r="DXU27" s="184">
        <f t="shared" si="2580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81"/>
        <v>0</v>
      </c>
      <c r="DYD27" s="211">
        <f t="shared" si="2582"/>
        <v>0</v>
      </c>
      <c r="DYE27" s="195"/>
      <c r="DYF27" s="49"/>
      <c r="DYG27" s="49"/>
      <c r="DYH27" s="49"/>
      <c r="DYI27" s="49"/>
      <c r="DYJ27" s="49"/>
      <c r="DYK27" s="64">
        <f t="shared" si="2583"/>
        <v>0</v>
      </c>
      <c r="DYL27" s="211">
        <f t="shared" si="2584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5"/>
        <v>105</v>
      </c>
      <c r="DYT27" s="211">
        <f t="shared" si="2586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7"/>
        <v>104</v>
      </c>
      <c r="DZB27" s="211">
        <f t="shared" si="2588"/>
        <v>17.333333333333332</v>
      </c>
      <c r="DZC27" s="195"/>
      <c r="DZD27" s="49"/>
      <c r="DZE27" s="49"/>
      <c r="DZF27" s="49"/>
      <c r="DZG27" s="49"/>
      <c r="DZH27" s="49"/>
      <c r="DZI27" s="64">
        <f t="shared" si="2589"/>
        <v>0</v>
      </c>
      <c r="DZJ27" s="211">
        <f t="shared" si="2590"/>
        <v>0</v>
      </c>
      <c r="DZK27" s="195"/>
      <c r="DZL27" s="49"/>
      <c r="DZM27" s="49"/>
      <c r="DZN27" s="49"/>
      <c r="DZO27" s="49"/>
      <c r="DZP27" s="49"/>
      <c r="DZQ27" s="64">
        <f t="shared" si="2591"/>
        <v>0</v>
      </c>
      <c r="DZR27" s="211">
        <f t="shared" si="2592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93"/>
        <v>140</v>
      </c>
      <c r="DZZ27" s="211">
        <f t="shared" si="2594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5"/>
        <v>53</v>
      </c>
      <c r="EAH27" s="211">
        <f t="shared" si="2596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7"/>
        <v>141</v>
      </c>
      <c r="EAP27" s="211">
        <f t="shared" si="2598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9"/>
        <v>17.166666666666668</v>
      </c>
      <c r="EAY27" s="195"/>
      <c r="EAZ27" s="49"/>
      <c r="EBA27" s="49"/>
      <c r="EBB27" s="49"/>
      <c r="EBC27" s="49"/>
      <c r="EBD27" s="49"/>
      <c r="EBE27" s="64">
        <f t="shared" si="1774"/>
        <v>0</v>
      </c>
      <c r="EBF27" s="211">
        <f t="shared" si="1775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600"/>
        <v>112</v>
      </c>
      <c r="EBN27" s="211">
        <f t="shared" si="2601"/>
        <v>18.666666666666668</v>
      </c>
      <c r="EBO27" s="195"/>
      <c r="EBP27" s="49"/>
      <c r="EBQ27" s="49"/>
      <c r="EBR27" s="49"/>
      <c r="EBS27" s="49"/>
      <c r="EBT27" s="49"/>
      <c r="EBU27" s="64">
        <f t="shared" si="2602"/>
        <v>0</v>
      </c>
      <c r="EBV27" s="211">
        <f t="shared" si="2603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4"/>
        <v>197</v>
      </c>
      <c r="ECD27" s="211">
        <f t="shared" si="2605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6"/>
        <v>151</v>
      </c>
      <c r="ECL27" s="211">
        <f t="shared" si="2607"/>
        <v>25.166666666666668</v>
      </c>
      <c r="ECM27" s="195"/>
      <c r="ECN27" s="49"/>
      <c r="ECO27" s="49"/>
      <c r="ECP27" s="49"/>
      <c r="ECQ27" s="49"/>
      <c r="ECR27" s="49"/>
      <c r="ECS27" s="64">
        <f t="shared" si="2608"/>
        <v>0</v>
      </c>
      <c r="ECT27" s="211">
        <f t="shared" si="2609"/>
        <v>0</v>
      </c>
      <c r="ECU27" s="195"/>
      <c r="ECV27" s="49"/>
      <c r="ECW27" s="49"/>
      <c r="ECX27" s="49"/>
      <c r="ECY27" s="49"/>
      <c r="ECZ27" s="49"/>
      <c r="EDA27" s="64">
        <f t="shared" si="2610"/>
        <v>0</v>
      </c>
      <c r="EDB27" s="211">
        <f t="shared" si="2611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12"/>
        <v>149</v>
      </c>
      <c r="EDJ27" s="211">
        <f t="shared" si="2613"/>
        <v>24.833333333333332</v>
      </c>
      <c r="EDK27" s="458"/>
      <c r="EDL27" s="83"/>
      <c r="EDM27" s="83"/>
      <c r="EDN27" s="83"/>
      <c r="EDO27" s="83"/>
      <c r="EDP27" s="83"/>
      <c r="EDQ27" s="64">
        <f t="shared" si="2614"/>
        <v>0</v>
      </c>
      <c r="EDR27" s="211">
        <f t="shared" si="2615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6"/>
        <v>201</v>
      </c>
      <c r="EDZ27" s="211">
        <f t="shared" si="2617"/>
        <v>33.5</v>
      </c>
      <c r="EEA27" s="195"/>
      <c r="EEB27" s="49"/>
      <c r="EEC27" s="49"/>
      <c r="EED27" s="49"/>
      <c r="EEE27" s="49"/>
      <c r="EEF27" s="49"/>
      <c r="EEG27" s="64">
        <f t="shared" si="2618"/>
        <v>0</v>
      </c>
      <c r="EEH27" s="211">
        <f t="shared" si="2619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20"/>
        <v>101</v>
      </c>
      <c r="EEP27" s="211">
        <f t="shared" si="2621"/>
        <v>16.833333333333332</v>
      </c>
      <c r="EEQ27" s="195"/>
      <c r="EER27" s="49"/>
      <c r="EES27" s="49"/>
      <c r="EET27" s="49"/>
      <c r="EEU27" s="49"/>
      <c r="EEV27" s="49"/>
      <c r="EEW27" s="64">
        <f t="shared" si="2622"/>
        <v>0</v>
      </c>
      <c r="EEX27" s="211">
        <f t="shared" si="2623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4"/>
        <v>113</v>
      </c>
      <c r="EFF27" s="707">
        <f t="shared" si="2625"/>
        <v>18.833333333333332</v>
      </c>
      <c r="EFG27" s="195"/>
      <c r="EFH27" s="49"/>
      <c r="EFI27" s="49"/>
      <c r="EFJ27" s="49"/>
      <c r="EFK27" s="49"/>
      <c r="EFL27" s="49"/>
      <c r="EFM27" s="64">
        <f t="shared" si="2626"/>
        <v>0</v>
      </c>
      <c r="EFN27" s="211">
        <f t="shared" si="2627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8"/>
        <v>111</v>
      </c>
      <c r="EFV27" s="211">
        <f t="shared" si="2629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30"/>
        <v>152</v>
      </c>
      <c r="EGD27" s="211">
        <f t="shared" si="2631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32"/>
        <v>0</v>
      </c>
      <c r="EGL27" s="211">
        <f t="shared" si="2633"/>
        <v>0</v>
      </c>
      <c r="EGM27" s="814"/>
      <c r="EGN27" s="815"/>
      <c r="EGO27" s="815"/>
      <c r="EGP27" s="815"/>
      <c r="EGQ27" s="815"/>
      <c r="EGR27" s="815"/>
      <c r="EGS27" s="808">
        <f t="shared" si="2634"/>
        <v>0</v>
      </c>
      <c r="EGT27" s="211">
        <f t="shared" si="2635"/>
        <v>0</v>
      </c>
      <c r="EGU27" s="195"/>
      <c r="EGV27" s="49"/>
      <c r="EGW27" s="49"/>
      <c r="EGX27" s="49"/>
      <c r="EGY27" s="49"/>
      <c r="EGZ27" s="49"/>
      <c r="EHA27" s="808">
        <f t="shared" si="2636"/>
        <v>0</v>
      </c>
      <c r="EHB27" s="211">
        <f t="shared" si="2637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8"/>
        <v>200</v>
      </c>
      <c r="EHJ27" s="211">
        <f t="shared" si="2639"/>
        <v>33.333333333333336</v>
      </c>
      <c r="EHK27" s="195"/>
      <c r="EHL27" s="49"/>
      <c r="EHM27" s="49"/>
      <c r="EHN27" s="49"/>
      <c r="EHO27" s="49"/>
      <c r="EHP27" s="49"/>
      <c r="EHQ27" s="808">
        <f t="shared" si="2640"/>
        <v>0</v>
      </c>
      <c r="EHR27" s="211">
        <f t="shared" si="2641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42"/>
        <v>98</v>
      </c>
      <c r="EHZ27" s="211">
        <f t="shared" si="2643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4"/>
        <v>220</v>
      </c>
      <c r="EIH27" s="211">
        <f t="shared" si="2645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6"/>
        <v>0</v>
      </c>
      <c r="EIP27" s="211">
        <f t="shared" si="2647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8"/>
        <v>100</v>
      </c>
      <c r="EIX27" s="211">
        <f t="shared" si="2649"/>
        <v>16.666666666666668</v>
      </c>
      <c r="EIY27" s="195"/>
      <c r="EIZ27" s="49"/>
      <c r="EJA27" s="49"/>
      <c r="EJB27" s="49"/>
      <c r="EJC27" s="49"/>
      <c r="EJD27" s="49"/>
      <c r="EJE27" s="808">
        <f t="shared" si="2650"/>
        <v>0</v>
      </c>
      <c r="EJF27" s="211">
        <f t="shared" si="2651"/>
        <v>0</v>
      </c>
      <c r="EJG27" s="195"/>
      <c r="EJH27" s="49"/>
      <c r="EJI27" s="49"/>
      <c r="EJJ27" s="49"/>
      <c r="EJK27" s="49"/>
      <c r="EJL27" s="49"/>
      <c r="EJM27" s="808">
        <f t="shared" si="2652"/>
        <v>0</v>
      </c>
      <c r="EJN27" s="211">
        <f t="shared" si="2653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4"/>
        <v>129</v>
      </c>
      <c r="EJV27" s="211">
        <f t="shared" si="2655"/>
        <v>21.5</v>
      </c>
      <c r="EJW27" s="195"/>
      <c r="EJX27" s="49"/>
      <c r="EJY27" s="49"/>
      <c r="EJZ27" s="49"/>
      <c r="EKA27" s="49"/>
      <c r="EKB27" s="49"/>
      <c r="EKC27" s="808">
        <f t="shared" si="2656"/>
        <v>0</v>
      </c>
      <c r="EKD27" s="211">
        <f t="shared" si="2657"/>
        <v>0</v>
      </c>
      <c r="EKE27" s="195"/>
      <c r="EKF27" s="49"/>
      <c r="EKG27" s="49"/>
      <c r="EKH27" s="49"/>
      <c r="EKI27" s="49"/>
      <c r="EKJ27" s="49"/>
      <c r="EKK27" s="808">
        <f t="shared" si="2658"/>
        <v>0</v>
      </c>
      <c r="EKL27" s="211">
        <f t="shared" si="2659"/>
        <v>0</v>
      </c>
      <c r="EKM27" s="458"/>
      <c r="EKN27" s="83"/>
      <c r="EKO27" s="83"/>
      <c r="EKP27" s="83"/>
      <c r="EKQ27" s="83"/>
      <c r="EKR27" s="83"/>
      <c r="EKS27" s="808">
        <f t="shared" si="2660"/>
        <v>0</v>
      </c>
      <c r="EKT27" s="211">
        <f t="shared" si="2661"/>
        <v>0</v>
      </c>
      <c r="EKU27" s="195"/>
      <c r="EKV27" s="49"/>
      <c r="EKW27" s="49"/>
      <c r="EKX27" s="49"/>
      <c r="EKY27" s="49"/>
      <c r="EKZ27" s="49"/>
      <c r="ELA27" s="808">
        <f t="shared" si="2662"/>
        <v>0</v>
      </c>
      <c r="ELB27" s="211">
        <f t="shared" si="2663"/>
        <v>0</v>
      </c>
      <c r="ELC27" s="195"/>
      <c r="ELD27" s="49"/>
      <c r="ELE27" s="49"/>
      <c r="ELF27" s="49"/>
      <c r="ELG27" s="49"/>
      <c r="ELH27" s="49"/>
      <c r="ELI27" s="808">
        <f t="shared" si="2664"/>
        <v>0</v>
      </c>
      <c r="ELJ27" s="211">
        <f t="shared" si="2665"/>
        <v>0</v>
      </c>
      <c r="ELK27" s="195"/>
      <c r="ELL27" s="49"/>
      <c r="ELM27" s="49"/>
      <c r="ELN27" s="49"/>
      <c r="ELO27" s="49"/>
      <c r="ELP27" s="49"/>
      <c r="ELQ27" s="808">
        <f t="shared" si="2666"/>
        <v>0</v>
      </c>
      <c r="ELR27" s="211">
        <f t="shared" si="2667"/>
        <v>0</v>
      </c>
      <c r="ELS27" s="195"/>
      <c r="ELT27" s="49"/>
      <c r="ELU27" s="49"/>
      <c r="ELV27" s="49"/>
      <c r="ELW27" s="49"/>
      <c r="ELX27" s="49"/>
      <c r="ELY27" s="872">
        <f t="shared" si="2668"/>
        <v>0</v>
      </c>
      <c r="ELZ27" s="873">
        <f t="shared" si="2669"/>
        <v>0</v>
      </c>
      <c r="EMA27" s="195"/>
      <c r="EMB27" s="49"/>
      <c r="EMC27" s="49"/>
      <c r="EMD27" s="49"/>
      <c r="EME27" s="49"/>
      <c r="EMF27" s="49"/>
      <c r="EMG27" s="872">
        <f t="shared" si="2670"/>
        <v>0</v>
      </c>
      <c r="EMH27" s="873">
        <f t="shared" si="2671"/>
        <v>0</v>
      </c>
      <c r="EMI27" s="195"/>
      <c r="EMJ27" s="49"/>
      <c r="EMK27" s="49"/>
      <c r="EML27" s="49"/>
      <c r="EMM27" s="49"/>
      <c r="EMN27" s="49"/>
      <c r="EMO27" s="872">
        <f t="shared" si="2672"/>
        <v>0</v>
      </c>
      <c r="EMP27" s="873">
        <f t="shared" si="2673"/>
        <v>0</v>
      </c>
      <c r="EMQ27" s="195"/>
      <c r="EMR27" s="49"/>
      <c r="EMS27" s="49"/>
      <c r="EMT27" s="49"/>
      <c r="EMU27" s="49"/>
      <c r="EMV27" s="49"/>
      <c r="EMW27" s="872">
        <f t="shared" si="2674"/>
        <v>0</v>
      </c>
      <c r="EMX27" s="873">
        <f t="shared" si="2675"/>
        <v>0</v>
      </c>
      <c r="EMY27" s="195"/>
      <c r="EMZ27" s="49"/>
      <c r="ENA27" s="49"/>
      <c r="ENB27" s="49"/>
      <c r="ENC27" s="49"/>
      <c r="END27" s="49"/>
      <c r="ENE27" s="872">
        <f t="shared" si="2676"/>
        <v>0</v>
      </c>
      <c r="ENF27" s="873">
        <f t="shared" si="2677"/>
        <v>0</v>
      </c>
    </row>
    <row r="28" spans="1:3750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5"/>
        <v>0</v>
      </c>
      <c r="L28" s="24">
        <f t="shared" si="1618"/>
        <v>96</v>
      </c>
      <c r="M28" s="15">
        <f t="shared" si="1816"/>
        <v>96</v>
      </c>
      <c r="N28" s="15">
        <v>5</v>
      </c>
      <c r="O28" s="276">
        <f t="shared" si="1619"/>
        <v>19.2</v>
      </c>
      <c r="P28" s="277">
        <v>0</v>
      </c>
      <c r="Q28" s="276">
        <f t="shared" si="1817"/>
        <v>0</v>
      </c>
      <c r="R28" s="277">
        <f t="shared" si="1818"/>
        <v>1.5384615384615385</v>
      </c>
      <c r="S28" s="222">
        <v>40</v>
      </c>
      <c r="T28" s="276">
        <f t="shared" si="1819"/>
        <v>62.4</v>
      </c>
      <c r="U28" s="278"/>
      <c r="V28" s="276">
        <f t="shared" si="1820"/>
        <v>62.4</v>
      </c>
      <c r="W28" s="279">
        <f t="shared" si="1821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22"/>
        <v>781</v>
      </c>
      <c r="AM28" s="43">
        <f t="shared" si="1823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4"/>
        <v>98</v>
      </c>
      <c r="AU28" s="43">
        <f t="shared" si="1825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6"/>
        <v>918</v>
      </c>
      <c r="BC28" s="43">
        <f t="shared" si="1827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8"/>
        <v>399</v>
      </c>
      <c r="BK28" s="43">
        <f t="shared" si="1829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30"/>
        <v>1197</v>
      </c>
      <c r="BS28" s="43">
        <f t="shared" si="1831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32"/>
        <v>1393</v>
      </c>
      <c r="CA28" s="43">
        <f t="shared" si="1833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4"/>
        <v>598</v>
      </c>
      <c r="CI28" s="43">
        <f t="shared" si="1835"/>
        <v>99.666666666666671</v>
      </c>
      <c r="CJ28" s="48"/>
      <c r="CK28" s="49"/>
      <c r="CL28" s="49"/>
      <c r="CM28" s="49"/>
      <c r="CN28" s="49"/>
      <c r="CO28" s="49"/>
      <c r="CP28" s="42">
        <f t="shared" si="1836"/>
        <v>0</v>
      </c>
      <c r="CQ28" s="43">
        <f t="shared" si="1837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8"/>
        <v>198</v>
      </c>
      <c r="CY28" s="43">
        <f t="shared" si="1839"/>
        <v>33</v>
      </c>
      <c r="CZ28" s="48">
        <v>603</v>
      </c>
      <c r="DA28" s="49"/>
      <c r="DB28" s="49"/>
      <c r="DC28" s="49"/>
      <c r="DD28" s="49"/>
      <c r="DE28" s="49"/>
      <c r="DF28" s="42">
        <f t="shared" si="1840"/>
        <v>603</v>
      </c>
      <c r="DG28" s="43">
        <f t="shared" si="1841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42"/>
        <v>212</v>
      </c>
      <c r="DO28" s="43">
        <f t="shared" si="1843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4"/>
        <v>789</v>
      </c>
      <c r="DW28" s="43">
        <f t="shared" si="1845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6"/>
        <v>603</v>
      </c>
      <c r="EE28" s="43">
        <f t="shared" si="1847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8"/>
        <v>796</v>
      </c>
      <c r="EM28" s="43">
        <f t="shared" si="1849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50"/>
        <v>601</v>
      </c>
      <c r="EU28" s="43">
        <f t="shared" si="1851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52"/>
        <v>204</v>
      </c>
      <c r="FC28" s="43">
        <f t="shared" si="1853"/>
        <v>34</v>
      </c>
      <c r="FD28" s="48"/>
      <c r="FE28" s="49"/>
      <c r="FF28" s="49">
        <v>597</v>
      </c>
      <c r="FG28" s="49"/>
      <c r="FH28" s="49"/>
      <c r="FI28" s="49"/>
      <c r="FJ28" s="42">
        <f t="shared" si="1854"/>
        <v>597</v>
      </c>
      <c r="FK28" s="43">
        <f t="shared" si="1855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6"/>
        <v>506</v>
      </c>
      <c r="FS28" s="43">
        <f t="shared" si="1857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8"/>
        <v>400</v>
      </c>
      <c r="GA28" s="43">
        <f t="shared" si="1859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60"/>
        <v>808</v>
      </c>
      <c r="GI28" s="43">
        <f t="shared" si="1861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62"/>
        <v>357</v>
      </c>
      <c r="GQ28" s="43">
        <f t="shared" si="1863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4"/>
        <v>405</v>
      </c>
      <c r="GY28" s="43">
        <f t="shared" si="1865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6"/>
        <v>577</v>
      </c>
      <c r="HG28" s="43">
        <f t="shared" si="1867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8"/>
        <v>248</v>
      </c>
      <c r="HO28" s="43">
        <f t="shared" si="1869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70"/>
        <v>495</v>
      </c>
      <c r="HW28" s="43">
        <f t="shared" si="1871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72"/>
        <v>379</v>
      </c>
      <c r="IE28" s="43">
        <f t="shared" si="1873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4"/>
        <v>998</v>
      </c>
      <c r="IM28" s="43">
        <f t="shared" si="1875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6"/>
        <v>163</v>
      </c>
      <c r="IU28" s="43">
        <f t="shared" si="1877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8"/>
        <v>196</v>
      </c>
      <c r="JC28" s="43">
        <f t="shared" si="1879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80"/>
        <v>1131</v>
      </c>
      <c r="JK28" s="43">
        <f t="shared" si="1881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82"/>
        <v>404</v>
      </c>
      <c r="JS28" s="43">
        <f t="shared" si="1883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4"/>
        <v>499</v>
      </c>
      <c r="KA28" s="43">
        <f t="shared" si="1885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6"/>
        <v>192</v>
      </c>
      <c r="KI28" s="43">
        <f t="shared" si="1887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8"/>
        <v>719</v>
      </c>
      <c r="KQ28" s="43">
        <f t="shared" si="1889"/>
        <v>119.83333333333333</v>
      </c>
      <c r="KR28" s="48"/>
      <c r="KS28" s="49"/>
      <c r="KT28" s="49"/>
      <c r="KU28" s="49"/>
      <c r="KV28" s="49"/>
      <c r="KW28" s="49"/>
      <c r="KX28" s="42">
        <f t="shared" si="1890"/>
        <v>0</v>
      </c>
      <c r="KY28" s="43">
        <f t="shared" si="1891"/>
        <v>0</v>
      </c>
      <c r="KZ28" s="48"/>
      <c r="LA28" s="49"/>
      <c r="LB28" s="49">
        <v>394</v>
      </c>
      <c r="LC28" s="49"/>
      <c r="LD28" s="49"/>
      <c r="LE28" s="49"/>
      <c r="LF28" s="42">
        <f t="shared" si="1892"/>
        <v>394</v>
      </c>
      <c r="LG28" s="43">
        <f t="shared" si="1893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4"/>
        <v>899</v>
      </c>
      <c r="LO28" s="68">
        <f t="shared" si="1895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6"/>
        <v>92</v>
      </c>
      <c r="LW28" s="68">
        <f t="shared" si="1897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8"/>
        <v>207</v>
      </c>
      <c r="ME28" s="68">
        <f t="shared" si="1899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900"/>
        <v>490</v>
      </c>
      <c r="MM28" s="43">
        <f t="shared" si="1901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902"/>
        <v>232</v>
      </c>
      <c r="MU28" s="43">
        <f t="shared" si="1903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4"/>
        <v>199</v>
      </c>
      <c r="NC28" s="43">
        <f t="shared" si="1905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6"/>
        <v>288</v>
      </c>
      <c r="NK28" s="43">
        <f t="shared" si="1907"/>
        <v>48</v>
      </c>
      <c r="NL28" s="48"/>
      <c r="NM28" s="49"/>
      <c r="NN28" s="49"/>
      <c r="NO28" s="49"/>
      <c r="NP28" s="49">
        <v>400</v>
      </c>
      <c r="NQ28" s="49"/>
      <c r="NR28" s="42">
        <f t="shared" si="1908"/>
        <v>400</v>
      </c>
      <c r="NS28" s="43">
        <f t="shared" si="1909"/>
        <v>66.666666666666671</v>
      </c>
      <c r="NT28" s="48"/>
      <c r="NU28" s="49"/>
      <c r="NV28" s="49"/>
      <c r="NW28" s="49"/>
      <c r="NX28" s="49"/>
      <c r="NY28" s="49"/>
      <c r="NZ28" s="42">
        <f t="shared" si="1910"/>
        <v>0</v>
      </c>
      <c r="OA28" s="43">
        <f t="shared" si="1911"/>
        <v>0</v>
      </c>
      <c r="OB28" s="48"/>
      <c r="OC28" s="49"/>
      <c r="OD28" s="49"/>
      <c r="OE28" s="49"/>
      <c r="OF28" s="49">
        <v>99</v>
      </c>
      <c r="OG28" s="49"/>
      <c r="OH28" s="42">
        <f t="shared" si="1912"/>
        <v>99</v>
      </c>
      <c r="OI28" s="43">
        <f t="shared" si="1913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4"/>
        <v>401</v>
      </c>
      <c r="OQ28" s="43">
        <f t="shared" si="1915"/>
        <v>66.833333333333329</v>
      </c>
      <c r="OR28" s="48"/>
      <c r="OS28" s="49"/>
      <c r="OT28" s="49"/>
      <c r="OU28" s="49"/>
      <c r="OV28" s="49"/>
      <c r="OW28" s="49"/>
      <c r="OX28" s="67">
        <f t="shared" si="1916"/>
        <v>0</v>
      </c>
      <c r="OY28" s="68">
        <f t="shared" si="1917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8"/>
        <v>732</v>
      </c>
      <c r="PG28" s="68">
        <f t="shared" si="1919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20"/>
        <v>735</v>
      </c>
      <c r="PO28" s="105">
        <f t="shared" si="1921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22"/>
        <v>189</v>
      </c>
      <c r="PW28" s="105">
        <f t="shared" si="1923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4"/>
        <v>193</v>
      </c>
      <c r="QE28" s="105">
        <f t="shared" si="1925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6"/>
        <v>400</v>
      </c>
      <c r="QM28" s="105">
        <f t="shared" si="1927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8"/>
        <v>693</v>
      </c>
      <c r="QU28" s="105">
        <f t="shared" si="1929"/>
        <v>115.5</v>
      </c>
      <c r="QV28" s="106"/>
      <c r="QW28" s="107"/>
      <c r="QX28" s="107"/>
      <c r="QY28" s="107"/>
      <c r="QZ28" s="107"/>
      <c r="RA28" s="107"/>
      <c r="RB28" s="104">
        <f t="shared" si="1930"/>
        <v>0</v>
      </c>
      <c r="RC28" s="105">
        <f t="shared" si="1931"/>
        <v>0</v>
      </c>
      <c r="RD28" s="106"/>
      <c r="RE28" s="107"/>
      <c r="RF28" s="107"/>
      <c r="RG28" s="107"/>
      <c r="RH28" s="107"/>
      <c r="RI28" s="107"/>
      <c r="RJ28" s="104">
        <f t="shared" si="1932"/>
        <v>0</v>
      </c>
      <c r="RK28" s="105">
        <f t="shared" si="1933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4"/>
        <v>94</v>
      </c>
      <c r="RS28" s="105">
        <f t="shared" si="1935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6"/>
        <v>395</v>
      </c>
      <c r="SA28" s="105">
        <f t="shared" si="1937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8"/>
        <v>188</v>
      </c>
      <c r="SI28" s="105">
        <f t="shared" si="1939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40"/>
        <v>422</v>
      </c>
      <c r="SQ28" s="105">
        <f t="shared" si="1941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42"/>
        <v>138</v>
      </c>
      <c r="SY28" s="105">
        <f t="shared" si="1943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4"/>
        <v>412</v>
      </c>
      <c r="TG28" s="105">
        <f t="shared" si="1945"/>
        <v>68.666666666666671</v>
      </c>
      <c r="TH28" s="106"/>
      <c r="TI28" s="107"/>
      <c r="TJ28" s="107"/>
      <c r="TK28" s="107"/>
      <c r="TL28" s="107"/>
      <c r="TM28" s="107"/>
      <c r="TN28" s="104">
        <f t="shared" si="1946"/>
        <v>0</v>
      </c>
      <c r="TO28" s="105">
        <f t="shared" si="1947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8"/>
        <v>299</v>
      </c>
      <c r="TX28" s="105">
        <f t="shared" si="1949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50"/>
        <v>194</v>
      </c>
      <c r="UF28" s="105">
        <f t="shared" si="1951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52"/>
        <v>198</v>
      </c>
      <c r="UN28" s="105">
        <f t="shared" si="1953"/>
        <v>33</v>
      </c>
      <c r="UO28" s="48"/>
      <c r="UP28" s="49"/>
      <c r="UQ28" s="49"/>
      <c r="UR28" s="49">
        <v>189</v>
      </c>
      <c r="US28" s="49"/>
      <c r="UT28" s="49"/>
      <c r="UU28" s="67">
        <f t="shared" si="1954"/>
        <v>189</v>
      </c>
      <c r="UV28" s="68">
        <f t="shared" si="1955"/>
        <v>31.5</v>
      </c>
      <c r="UW28" s="106"/>
      <c r="UX28" s="107"/>
      <c r="UY28" s="107"/>
      <c r="UZ28" s="107"/>
      <c r="VA28" s="107"/>
      <c r="VB28" s="107"/>
      <c r="VC28" s="104">
        <f t="shared" si="1956"/>
        <v>0</v>
      </c>
      <c r="VD28" s="105">
        <f t="shared" si="1957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8"/>
        <v>304</v>
      </c>
      <c r="VL28" s="68">
        <f t="shared" si="1959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60"/>
        <v>98</v>
      </c>
      <c r="VU28" s="105">
        <f t="shared" si="1961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62"/>
        <v>395</v>
      </c>
      <c r="WD28" s="68">
        <f t="shared" si="1963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4"/>
        <v>400</v>
      </c>
      <c r="WM28" s="68">
        <f t="shared" si="1965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6"/>
        <v>407</v>
      </c>
      <c r="WV28" s="68">
        <f t="shared" si="1967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8"/>
        <v>213</v>
      </c>
      <c r="XE28" s="68">
        <f t="shared" si="1969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70"/>
        <v>196</v>
      </c>
      <c r="XM28" s="68">
        <f t="shared" si="1971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72"/>
        <v>170</v>
      </c>
      <c r="XU28" s="68">
        <f t="shared" si="1973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4"/>
        <v>196</v>
      </c>
      <c r="YC28" s="68">
        <f t="shared" si="1975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6"/>
        <v>432</v>
      </c>
      <c r="YL28" s="68">
        <f t="shared" si="1977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8"/>
        <v>206</v>
      </c>
      <c r="YU28" s="68">
        <f t="shared" si="1979"/>
        <v>34.333333333333336</v>
      </c>
      <c r="YV28" s="48"/>
      <c r="YW28" s="49"/>
      <c r="YX28" s="49"/>
      <c r="YY28" s="49"/>
      <c r="YZ28" s="49"/>
      <c r="ZA28" s="49"/>
      <c r="ZB28" s="67">
        <f t="shared" si="1980"/>
        <v>0</v>
      </c>
      <c r="ZC28" s="68">
        <f t="shared" si="1981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82"/>
        <v>835</v>
      </c>
      <c r="ZK28" s="68">
        <f t="shared" si="1983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4"/>
        <v>401</v>
      </c>
      <c r="ZS28" s="68">
        <f t="shared" si="1985"/>
        <v>66.833333333333329</v>
      </c>
      <c r="ZT28" s="48"/>
      <c r="ZU28" s="49"/>
      <c r="ZV28" s="49"/>
      <c r="ZW28" s="49"/>
      <c r="ZX28" s="49"/>
      <c r="ZY28" s="49"/>
      <c r="ZZ28" s="67">
        <f t="shared" si="1986"/>
        <v>0</v>
      </c>
      <c r="AAA28" s="68">
        <f t="shared" si="1987"/>
        <v>0</v>
      </c>
      <c r="AAB28" s="48"/>
      <c r="AAC28" s="49"/>
      <c r="AAD28" s="49"/>
      <c r="AAE28" s="49"/>
      <c r="AAF28" s="49"/>
      <c r="AAG28" s="49"/>
      <c r="AAH28" s="67">
        <f t="shared" si="1988"/>
        <v>0</v>
      </c>
      <c r="AAI28" s="68">
        <f t="shared" si="1989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90"/>
        <v>201</v>
      </c>
      <c r="AAQ28" s="68">
        <f t="shared" si="1991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92"/>
        <v>459</v>
      </c>
      <c r="AAY28" s="68">
        <f t="shared" si="1993"/>
        <v>76.5</v>
      </c>
      <c r="AAZ28" s="48"/>
      <c r="ABA28" s="49"/>
      <c r="ABB28" s="49"/>
      <c r="ABC28" s="49"/>
      <c r="ABD28" s="49"/>
      <c r="ABE28" s="49"/>
      <c r="ABF28" s="67">
        <f t="shared" si="1994"/>
        <v>0</v>
      </c>
      <c r="ABG28" s="68">
        <f t="shared" si="1995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6"/>
        <v>110</v>
      </c>
      <c r="ABO28" s="68">
        <f t="shared" si="1997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8"/>
        <v>191</v>
      </c>
      <c r="ABW28" s="68">
        <f t="shared" si="1999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2000"/>
        <v>294</v>
      </c>
      <c r="ACE28" s="68">
        <f t="shared" si="1641"/>
        <v>49</v>
      </c>
      <c r="ACF28" s="48"/>
      <c r="ACG28" s="49"/>
      <c r="ACH28" s="49"/>
      <c r="ACI28" s="49"/>
      <c r="ACJ28" s="49"/>
      <c r="ACK28" s="49"/>
      <c r="ACL28" s="67">
        <f t="shared" si="2001"/>
        <v>0</v>
      </c>
      <c r="ACM28" s="68">
        <f t="shared" si="2002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2003"/>
        <v>259</v>
      </c>
      <c r="ACU28" s="68">
        <f t="shared" si="2004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5"/>
        <v>110</v>
      </c>
      <c r="ADC28" s="68">
        <f t="shared" si="2006"/>
        <v>18.333333333333332</v>
      </c>
      <c r="ADD28" s="48"/>
      <c r="ADE28" s="49"/>
      <c r="ADF28" s="49"/>
      <c r="ADG28" s="49"/>
      <c r="ADH28" s="49"/>
      <c r="ADI28" s="49"/>
      <c r="ADJ28" s="67">
        <f t="shared" si="2007"/>
        <v>0</v>
      </c>
      <c r="ADK28" s="68">
        <f t="shared" si="2008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9"/>
        <v>345</v>
      </c>
      <c r="ADS28" s="68">
        <f t="shared" si="2010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11"/>
        <v>289</v>
      </c>
      <c r="AEA28" s="68">
        <f t="shared" si="2012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13"/>
        <v>223</v>
      </c>
      <c r="AEI28" s="68">
        <f t="shared" si="2014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5"/>
        <v>339</v>
      </c>
      <c r="AEQ28" s="68">
        <f t="shared" si="2016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7"/>
        <v>100</v>
      </c>
      <c r="AEY28" s="68">
        <f t="shared" si="2018"/>
        <v>10</v>
      </c>
      <c r="AEZ28" s="48"/>
      <c r="AFA28" s="49"/>
      <c r="AFB28" s="49"/>
      <c r="AFC28" s="49"/>
      <c r="AFD28" s="49"/>
      <c r="AFE28" s="49"/>
      <c r="AFF28" s="67">
        <f t="shared" si="2019"/>
        <v>0</v>
      </c>
      <c r="AFG28" s="68">
        <f t="shared" si="2020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21"/>
        <v>147</v>
      </c>
      <c r="AFO28" s="68">
        <f t="shared" si="2022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23"/>
        <v>264</v>
      </c>
      <c r="AFW28" s="68">
        <f t="shared" si="2024"/>
        <v>26.4</v>
      </c>
      <c r="AFX28" s="48"/>
      <c r="AFY28" s="49"/>
      <c r="AFZ28" s="49"/>
      <c r="AGA28" s="49"/>
      <c r="AGB28" s="49"/>
      <c r="AGC28" s="49"/>
      <c r="AGD28" s="67">
        <f t="shared" si="2025"/>
        <v>0</v>
      </c>
      <c r="AGE28" s="68">
        <f t="shared" si="2026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7"/>
        <v>228</v>
      </c>
      <c r="AGM28" s="68">
        <f t="shared" si="2028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9"/>
        <v>220</v>
      </c>
      <c r="AGU28" s="43">
        <f t="shared" si="2030"/>
        <v>22</v>
      </c>
      <c r="AGV28" s="48"/>
      <c r="AGW28" s="49"/>
      <c r="AGX28" s="49"/>
      <c r="AGY28" s="49"/>
      <c r="AGZ28" s="49"/>
      <c r="AHA28" s="49"/>
      <c r="AHB28" s="42">
        <f t="shared" si="2031"/>
        <v>0</v>
      </c>
      <c r="AHC28" s="43">
        <f t="shared" si="2032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33"/>
        <v>217</v>
      </c>
      <c r="AHK28" s="43">
        <f t="shared" si="2034"/>
        <v>21.7</v>
      </c>
      <c r="AHL28" s="48"/>
      <c r="AHM28" s="49"/>
      <c r="AHN28" s="49"/>
      <c r="AHO28" s="49"/>
      <c r="AHP28" s="49"/>
      <c r="AHQ28" s="49"/>
      <c r="AHR28" s="67">
        <f t="shared" si="2035"/>
        <v>0</v>
      </c>
      <c r="AHS28" s="68">
        <f t="shared" si="2036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7"/>
        <v>111</v>
      </c>
      <c r="AIA28" s="68">
        <f t="shared" si="2038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9"/>
        <v>100</v>
      </c>
      <c r="AII28" s="68">
        <f t="shared" si="2040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41"/>
        <v>109</v>
      </c>
      <c r="AIQ28" s="68">
        <f t="shared" si="2042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43"/>
        <v>237</v>
      </c>
      <c r="AIY28" s="68">
        <f t="shared" si="2044"/>
        <v>39.5</v>
      </c>
      <c r="AIZ28" s="48"/>
      <c r="AJA28" s="49"/>
      <c r="AJB28" s="49"/>
      <c r="AJC28" s="49"/>
      <c r="AJD28" s="49"/>
      <c r="AJE28" s="49"/>
      <c r="AJF28" s="67">
        <f t="shared" si="2045"/>
        <v>0</v>
      </c>
      <c r="AJG28" s="68">
        <f t="shared" si="2046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7"/>
        <v>114</v>
      </c>
      <c r="AJO28" s="43">
        <f t="shared" si="2048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9"/>
        <v>215</v>
      </c>
      <c r="AJW28" s="43">
        <f t="shared" si="2050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51"/>
        <v>343</v>
      </c>
      <c r="AKE28" s="43">
        <f t="shared" si="2052"/>
        <v>57.166666666666664</v>
      </c>
      <c r="AKF28" s="48"/>
      <c r="AKG28" s="49"/>
      <c r="AKH28" s="49"/>
      <c r="AKI28" s="49"/>
      <c r="AKJ28" s="49"/>
      <c r="AKK28" s="49"/>
      <c r="AKL28" s="47">
        <f t="shared" si="2053"/>
        <v>0</v>
      </c>
      <c r="AKM28" s="43">
        <f t="shared" si="2054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5"/>
        <v>210</v>
      </c>
      <c r="AKU28" s="43">
        <f t="shared" si="2056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7"/>
        <v>222</v>
      </c>
      <c r="ALC28" s="43">
        <f t="shared" si="2058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9"/>
        <v>447</v>
      </c>
      <c r="ALK28" s="43">
        <f t="shared" si="2060"/>
        <v>74.5</v>
      </c>
      <c r="ALL28" s="48"/>
      <c r="ALM28" s="49"/>
      <c r="ALN28" s="49"/>
      <c r="ALO28" s="49"/>
      <c r="ALP28" s="49"/>
      <c r="ALQ28" s="49"/>
      <c r="ALR28" s="67">
        <f t="shared" si="2061"/>
        <v>0</v>
      </c>
      <c r="ALS28" s="68">
        <f t="shared" si="2062"/>
        <v>0</v>
      </c>
      <c r="ALT28" s="48"/>
      <c r="ALU28" s="49"/>
      <c r="ALV28" s="49"/>
      <c r="ALW28" s="49"/>
      <c r="ALX28" s="49"/>
      <c r="ALY28" s="49"/>
      <c r="ALZ28" s="67">
        <f t="shared" si="2063"/>
        <v>0</v>
      </c>
      <c r="AMA28" s="68">
        <f t="shared" si="2064"/>
        <v>0</v>
      </c>
      <c r="AMB28" s="48"/>
      <c r="AMC28" s="49"/>
      <c r="AMD28" s="49"/>
      <c r="AME28" s="49"/>
      <c r="AMF28" s="49"/>
      <c r="AMG28" s="49"/>
      <c r="AMH28" s="67">
        <f t="shared" si="2065"/>
        <v>0</v>
      </c>
      <c r="AMI28" s="68">
        <f t="shared" si="2066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7"/>
        <v>186</v>
      </c>
      <c r="AMQ28" s="68">
        <f t="shared" si="2068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9"/>
        <v>325</v>
      </c>
      <c r="AMY28" s="68">
        <f t="shared" si="2070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71"/>
        <v>110</v>
      </c>
      <c r="ANG28" s="68">
        <f t="shared" si="2072"/>
        <v>18.333333333333332</v>
      </c>
      <c r="ANH28" s="48"/>
      <c r="ANI28" s="49"/>
      <c r="ANJ28" s="49"/>
      <c r="ANK28" s="49"/>
      <c r="ANL28" s="49"/>
      <c r="ANM28" s="49"/>
      <c r="ANN28" s="67">
        <f t="shared" si="2073"/>
        <v>0</v>
      </c>
      <c r="ANO28" s="68">
        <f t="shared" si="2074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5"/>
        <v>220</v>
      </c>
      <c r="ANW28" s="68">
        <f t="shared" si="2076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7"/>
        <v>96</v>
      </c>
      <c r="AOE28" s="68">
        <f t="shared" si="2078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9"/>
        <v>110</v>
      </c>
      <c r="AOM28" s="68">
        <f t="shared" si="2080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81"/>
        <v>111</v>
      </c>
      <c r="AOU28" s="68">
        <f t="shared" si="2082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83"/>
        <v>221</v>
      </c>
      <c r="APC28" s="68">
        <f t="shared" si="2084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5"/>
        <v>197</v>
      </c>
      <c r="APK28" s="68">
        <f t="shared" si="2086"/>
        <v>32.833333333333336</v>
      </c>
      <c r="APL28" s="48"/>
      <c r="APM28" s="49"/>
      <c r="APN28" s="49"/>
      <c r="APO28" s="49"/>
      <c r="APP28" s="49"/>
      <c r="APQ28" s="49"/>
      <c r="APR28" s="67">
        <f t="shared" si="2087"/>
        <v>0</v>
      </c>
      <c r="APS28" s="68">
        <f t="shared" si="2088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9"/>
        <v>110</v>
      </c>
      <c r="AQA28" s="68">
        <f t="shared" si="2090"/>
        <v>18.333333333333332</v>
      </c>
      <c r="AQB28" s="48"/>
      <c r="AQC28" s="49"/>
      <c r="AQD28" s="49"/>
      <c r="AQE28" s="49"/>
      <c r="AQF28" s="49"/>
      <c r="AQG28" s="49"/>
      <c r="AQH28" s="67">
        <f t="shared" si="2091"/>
        <v>0</v>
      </c>
      <c r="AQI28" s="68">
        <f t="shared" si="2092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93"/>
        <v>110</v>
      </c>
      <c r="AQQ28" s="43">
        <f t="shared" si="2094"/>
        <v>18.333333333333332</v>
      </c>
      <c r="AQR28" s="48"/>
      <c r="AQS28" s="49"/>
      <c r="AQT28" s="49"/>
      <c r="AQU28" s="49"/>
      <c r="AQV28" s="49"/>
      <c r="AQW28" s="49"/>
      <c r="AQX28" s="42">
        <f t="shared" si="2095"/>
        <v>0</v>
      </c>
      <c r="AQY28" s="43">
        <f t="shared" si="2096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7"/>
        <v>110</v>
      </c>
      <c r="ARG28" s="43">
        <f t="shared" si="2098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9"/>
        <v>113</v>
      </c>
      <c r="ARO28" s="43">
        <f t="shared" si="2100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101"/>
        <v>113</v>
      </c>
      <c r="ARW28" s="43">
        <f t="shared" si="2102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103"/>
        <v>107</v>
      </c>
      <c r="ASE28" s="43">
        <f t="shared" si="2104"/>
        <v>17.833333333333332</v>
      </c>
      <c r="ASF28" s="48"/>
      <c r="ASG28" s="49"/>
      <c r="ASH28" s="49"/>
      <c r="ASI28" s="49"/>
      <c r="ASJ28" s="49"/>
      <c r="ASK28" s="49"/>
      <c r="ASL28" s="42">
        <f t="shared" si="2105"/>
        <v>0</v>
      </c>
      <c r="ASM28" s="43">
        <f t="shared" si="2106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7"/>
        <v>110</v>
      </c>
      <c r="ASU28" s="43">
        <f t="shared" si="2108"/>
        <v>18.333333333333332</v>
      </c>
      <c r="ASV28" s="48"/>
      <c r="ASW28" s="49"/>
      <c r="ASX28" s="49"/>
      <c r="ASY28" s="49"/>
      <c r="ASZ28" s="49"/>
      <c r="ATA28" s="49"/>
      <c r="ATB28" s="42">
        <f t="shared" si="2109"/>
        <v>0</v>
      </c>
      <c r="ATC28" s="43">
        <f t="shared" si="2110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11"/>
        <v>110</v>
      </c>
      <c r="ATK28" s="43">
        <f t="shared" si="2112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13"/>
        <v>224</v>
      </c>
      <c r="ATS28" s="43">
        <f t="shared" si="2114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5"/>
        <v>108</v>
      </c>
      <c r="AUA28" s="43">
        <f t="shared" si="2116"/>
        <v>18</v>
      </c>
      <c r="AUB28" s="48"/>
      <c r="AUC28" s="49"/>
      <c r="AUD28" s="49"/>
      <c r="AUE28" s="49"/>
      <c r="AUF28" s="49"/>
      <c r="AUG28" s="49"/>
      <c r="AUH28" s="42">
        <f t="shared" si="2117"/>
        <v>0</v>
      </c>
      <c r="AUI28" s="43">
        <f t="shared" si="2118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9"/>
        <v>111</v>
      </c>
      <c r="AUQ28" s="43">
        <f t="shared" si="2120"/>
        <v>18.5</v>
      </c>
      <c r="AUR28" s="48"/>
      <c r="AUS28" s="49"/>
      <c r="AUT28" s="49"/>
      <c r="AUU28" s="49"/>
      <c r="AUV28" s="49"/>
      <c r="AUW28" s="49"/>
      <c r="AUX28" s="42">
        <f t="shared" si="2121"/>
        <v>0</v>
      </c>
      <c r="AUY28" s="43">
        <f t="shared" si="2122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23"/>
        <v>312</v>
      </c>
      <c r="AVG28" s="43">
        <f t="shared" si="2124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5"/>
        <v>203</v>
      </c>
      <c r="AVO28" s="43">
        <f t="shared" si="2126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7"/>
        <v>110</v>
      </c>
      <c r="AVW28" s="43">
        <f t="shared" si="2128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9"/>
        <v>328</v>
      </c>
      <c r="AWE28" s="43">
        <f t="shared" si="2130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31"/>
        <v>110</v>
      </c>
      <c r="AWM28" s="43">
        <f t="shared" si="2132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33"/>
        <v>228</v>
      </c>
      <c r="AWU28" s="43">
        <f t="shared" si="2134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5"/>
        <v>215</v>
      </c>
      <c r="AXC28" s="43">
        <f t="shared" si="2136"/>
        <v>35.833333333333336</v>
      </c>
      <c r="AXD28" s="48"/>
      <c r="AXE28" s="49"/>
      <c r="AXF28" s="49"/>
      <c r="AXG28" s="49"/>
      <c r="AXH28" s="49"/>
      <c r="AXI28" s="49"/>
      <c r="AXJ28" s="42">
        <f t="shared" si="2137"/>
        <v>0</v>
      </c>
      <c r="AXK28" s="43">
        <f t="shared" si="2138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9"/>
        <v>203</v>
      </c>
      <c r="AXS28" s="43">
        <f t="shared" si="2140"/>
        <v>33.833333333333336</v>
      </c>
      <c r="AXT28" s="48"/>
      <c r="AXU28" s="49"/>
      <c r="AXV28" s="49"/>
      <c r="AXW28" s="49"/>
      <c r="AXX28" s="49"/>
      <c r="AXY28" s="49"/>
      <c r="AXZ28" s="42">
        <f t="shared" si="2141"/>
        <v>0</v>
      </c>
      <c r="AYA28" s="43">
        <f t="shared" si="2142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43"/>
        <v>111</v>
      </c>
      <c r="AYI28" s="43">
        <f t="shared" si="2144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5"/>
        <v>37</v>
      </c>
      <c r="AYQ28" s="43">
        <f t="shared" si="2146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7"/>
        <v>104</v>
      </c>
      <c r="AYY28" s="43">
        <f t="shared" si="2148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9"/>
        <v>110</v>
      </c>
      <c r="AZG28" s="43">
        <f t="shared" si="2150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51"/>
        <v>211</v>
      </c>
      <c r="AZO28" s="43">
        <f t="shared" si="2152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53"/>
        <v>109</v>
      </c>
      <c r="AZW28" s="43">
        <f t="shared" si="2154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5"/>
        <v>81</v>
      </c>
      <c r="BAE28" s="43">
        <f t="shared" si="2156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7"/>
        <v>210</v>
      </c>
      <c r="BAM28" s="43">
        <f t="shared" si="2158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9"/>
        <v>110</v>
      </c>
      <c r="BAU28" s="43">
        <f t="shared" si="2160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61"/>
        <v>136</v>
      </c>
      <c r="BBC28" s="43">
        <f t="shared" si="2162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63"/>
        <v>331</v>
      </c>
      <c r="BBK28" s="43">
        <f t="shared" si="2164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5"/>
        <v>110</v>
      </c>
      <c r="BBS28" s="43">
        <f t="shared" si="2166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7"/>
        <v>123</v>
      </c>
      <c r="BCA28" s="43">
        <f t="shared" si="2168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9"/>
        <v>307</v>
      </c>
      <c r="BCI28" s="43">
        <f t="shared" si="2170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71"/>
        <v>109</v>
      </c>
      <c r="BCQ28" s="43">
        <f t="shared" si="2172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73"/>
        <v>220</v>
      </c>
      <c r="BCY28" s="43">
        <f t="shared" si="2174"/>
        <v>36.666666666666664</v>
      </c>
      <c r="BCZ28" s="48"/>
      <c r="BDA28" s="49"/>
      <c r="BDB28" s="49"/>
      <c r="BDC28" s="49"/>
      <c r="BDD28" s="49"/>
      <c r="BDE28" s="49"/>
      <c r="BDF28" s="42">
        <f t="shared" si="2175"/>
        <v>0</v>
      </c>
      <c r="BDG28" s="43">
        <f t="shared" si="2176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7"/>
        <v>220</v>
      </c>
      <c r="BDO28" s="101">
        <f t="shared" si="2178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9"/>
        <v>220</v>
      </c>
      <c r="BDW28" s="101">
        <f t="shared" si="2180"/>
        <v>36.666666666666664</v>
      </c>
      <c r="BDX28" s="48"/>
      <c r="BDY28" s="49"/>
      <c r="BDZ28" s="49"/>
      <c r="BEA28" s="49"/>
      <c r="BEB28" s="49"/>
      <c r="BEC28" s="49"/>
      <c r="BED28" s="42">
        <f t="shared" si="2181"/>
        <v>0</v>
      </c>
      <c r="BEE28" s="43">
        <f t="shared" si="2182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83"/>
        <v>97</v>
      </c>
      <c r="BEM28" s="43">
        <f t="shared" si="2184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5"/>
        <v>248</v>
      </c>
      <c r="BEU28" s="43">
        <f t="shared" si="2186"/>
        <v>41.333333333333336</v>
      </c>
      <c r="BEV28" s="48"/>
      <c r="BEW28" s="49"/>
      <c r="BEX28" s="49"/>
      <c r="BEY28" s="49"/>
      <c r="BEZ28" s="49"/>
      <c r="BFA28" s="49"/>
      <c r="BFB28" s="42">
        <f t="shared" si="2187"/>
        <v>0</v>
      </c>
      <c r="BFC28" s="43">
        <f t="shared" si="2188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9"/>
        <v>110</v>
      </c>
      <c r="BFK28" s="43">
        <f t="shared" si="2190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91"/>
        <v>218</v>
      </c>
      <c r="BFS28" s="43">
        <f t="shared" si="2192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93"/>
        <v>110</v>
      </c>
      <c r="BGA28" s="43">
        <f t="shared" si="2194"/>
        <v>18.333333333333332</v>
      </c>
      <c r="BGB28" s="48"/>
      <c r="BGC28" s="49"/>
      <c r="BGD28" s="49"/>
      <c r="BGE28" s="49"/>
      <c r="BGF28" s="49"/>
      <c r="BGG28" s="49"/>
      <c r="BGH28" s="42">
        <f t="shared" si="2195"/>
        <v>0</v>
      </c>
      <c r="BGI28" s="43">
        <f t="shared" si="2196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7"/>
        <v>110</v>
      </c>
      <c r="BGQ28" s="43">
        <f t="shared" si="2198"/>
        <v>18.333333333333332</v>
      </c>
      <c r="BGR28" s="48"/>
      <c r="BGS28" s="49"/>
      <c r="BGT28" s="49"/>
      <c r="BGU28" s="49"/>
      <c r="BGV28" s="49"/>
      <c r="BGW28" s="49"/>
      <c r="BGX28" s="42">
        <f t="shared" si="2199"/>
        <v>0</v>
      </c>
      <c r="BGY28" s="43">
        <f t="shared" si="2200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201"/>
        <v>100</v>
      </c>
      <c r="BHG28" s="43">
        <f t="shared" si="2202"/>
        <v>16.666666666666668</v>
      </c>
      <c r="BHH28" s="48"/>
      <c r="BHI28" s="49"/>
      <c r="BHJ28" s="49"/>
      <c r="BHK28" s="49"/>
      <c r="BHL28" s="49"/>
      <c r="BHM28" s="49"/>
      <c r="BHN28" s="42">
        <f t="shared" si="2203"/>
        <v>0</v>
      </c>
      <c r="BHO28" s="43">
        <f t="shared" si="2204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5"/>
        <v>111</v>
      </c>
      <c r="BHW28" s="43">
        <f t="shared" si="2206"/>
        <v>18.5</v>
      </c>
      <c r="BHX28" s="48"/>
      <c r="BHY28" s="49"/>
      <c r="BHZ28" s="49"/>
      <c r="BIA28" s="49"/>
      <c r="BIB28" s="49"/>
      <c r="BIC28" s="49"/>
      <c r="BID28" s="42">
        <f t="shared" si="2207"/>
        <v>0</v>
      </c>
      <c r="BIE28" s="43">
        <f t="shared" si="2208"/>
        <v>0</v>
      </c>
      <c r="BIF28" s="48"/>
      <c r="BIG28" s="49"/>
      <c r="BIH28" s="49"/>
      <c r="BII28" s="49"/>
      <c r="BIJ28" s="49"/>
      <c r="BIK28" s="49"/>
      <c r="BIL28" s="42">
        <f t="shared" si="2209"/>
        <v>0</v>
      </c>
      <c r="BIM28" s="43">
        <f t="shared" si="2210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11"/>
        <v>110</v>
      </c>
      <c r="BIU28" s="43">
        <f t="shared" si="2212"/>
        <v>18.333333333333332</v>
      </c>
      <c r="BIV28" s="48"/>
      <c r="BIW28" s="49"/>
      <c r="BIX28" s="49"/>
      <c r="BIY28" s="49"/>
      <c r="BIZ28" s="49"/>
      <c r="BJA28" s="49"/>
      <c r="BJB28" s="42">
        <f t="shared" si="2213"/>
        <v>0</v>
      </c>
      <c r="BJC28" s="43">
        <f t="shared" si="2214"/>
        <v>0</v>
      </c>
      <c r="BJD28" s="48"/>
      <c r="BJE28" s="49"/>
      <c r="BJF28" s="49"/>
      <c r="BJG28" s="49"/>
      <c r="BJH28" s="49"/>
      <c r="BJI28" s="49"/>
      <c r="BJJ28" s="42">
        <f t="shared" si="2215"/>
        <v>0</v>
      </c>
      <c r="BJK28" s="43">
        <f t="shared" si="2216"/>
        <v>0</v>
      </c>
      <c r="BJL28" s="48"/>
      <c r="BJM28" s="49"/>
      <c r="BJN28" s="49"/>
      <c r="BJO28" s="49"/>
      <c r="BJP28" s="49"/>
      <c r="BJQ28" s="49"/>
      <c r="BJR28" s="42">
        <f t="shared" si="2217"/>
        <v>0</v>
      </c>
      <c r="BJS28" s="43">
        <f t="shared" si="2218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9"/>
        <v>112</v>
      </c>
      <c r="BKA28" s="43">
        <f t="shared" si="2220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21"/>
        <v>160</v>
      </c>
      <c r="BKI28" s="43">
        <f t="shared" si="2222"/>
        <v>26.666666666666668</v>
      </c>
      <c r="BKJ28" s="48"/>
      <c r="BKK28" s="49"/>
      <c r="BKL28" s="49"/>
      <c r="BKM28" s="49"/>
      <c r="BKN28" s="49"/>
      <c r="BKO28" s="49"/>
      <c r="BKP28" s="67">
        <f t="shared" si="2223"/>
        <v>0</v>
      </c>
      <c r="BKQ28" s="43">
        <f t="shared" si="2224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5"/>
        <v>110</v>
      </c>
      <c r="BKY28" s="43">
        <f t="shared" si="2226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7"/>
        <v>100</v>
      </c>
      <c r="BLG28" s="43">
        <f t="shared" si="2228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9"/>
        <v>224</v>
      </c>
      <c r="BLO28" s="68">
        <f t="shared" si="2230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31"/>
        <v>190</v>
      </c>
      <c r="BLW28" s="68">
        <f t="shared" si="2232"/>
        <v>31.666666666666668</v>
      </c>
      <c r="BLX28" s="48"/>
      <c r="BLY28" s="49"/>
      <c r="BLZ28" s="49"/>
      <c r="BMA28" s="49"/>
      <c r="BMB28" s="49"/>
      <c r="BMC28" s="49"/>
      <c r="BMD28" s="67">
        <f t="shared" si="2233"/>
        <v>0</v>
      </c>
      <c r="BME28" s="43">
        <f t="shared" si="2234"/>
        <v>0</v>
      </c>
      <c r="BMF28" s="48"/>
      <c r="BMG28" s="49"/>
      <c r="BMH28" s="49"/>
      <c r="BMI28" s="49"/>
      <c r="BMJ28" s="49"/>
      <c r="BMK28" s="49"/>
      <c r="BML28" s="67">
        <f t="shared" si="2235"/>
        <v>0</v>
      </c>
      <c r="BMM28" s="43">
        <f t="shared" si="2236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7"/>
        <v>219</v>
      </c>
      <c r="BMU28" s="43">
        <f t="shared" si="2238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9"/>
        <v>51</v>
      </c>
      <c r="BNC28" s="43">
        <f t="shared" si="2240"/>
        <v>8.5</v>
      </c>
      <c r="BND28" s="48"/>
      <c r="BNE28" s="49"/>
      <c r="BNF28" s="49"/>
      <c r="BNG28" s="49"/>
      <c r="BNH28" s="49"/>
      <c r="BNI28" s="49"/>
      <c r="BNJ28" s="67">
        <f t="shared" si="2241"/>
        <v>0</v>
      </c>
      <c r="BNK28" s="184">
        <f t="shared" si="2242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43"/>
        <v>110</v>
      </c>
      <c r="BNS28" s="211">
        <f t="shared" si="2244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5"/>
        <v>48</v>
      </c>
      <c r="BOA28" s="184">
        <f t="shared" si="2246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7"/>
        <v>99</v>
      </c>
      <c r="BOI28" s="68">
        <f t="shared" si="2248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9"/>
        <v>106</v>
      </c>
      <c r="BOQ28" s="68">
        <f t="shared" si="2250"/>
        <v>17.666666666666668</v>
      </c>
      <c r="BOR28" s="48"/>
      <c r="BOS28" s="49"/>
      <c r="BOT28" s="49"/>
      <c r="BOU28" s="49"/>
      <c r="BOV28" s="49"/>
      <c r="BOW28" s="49"/>
      <c r="BOX28" s="67">
        <f t="shared" si="2251"/>
        <v>0</v>
      </c>
      <c r="BOY28" s="68">
        <f t="shared" si="2252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53"/>
        <v>220</v>
      </c>
      <c r="BPG28" s="68">
        <f t="shared" si="2254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5"/>
        <v>80</v>
      </c>
      <c r="BPO28" s="68">
        <f t="shared" si="2256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7"/>
        <v>65</v>
      </c>
      <c r="BPW28" s="68">
        <f t="shared" si="2258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9"/>
        <v>110</v>
      </c>
      <c r="BQE28" s="68">
        <f t="shared" si="2260"/>
        <v>18.333333333333332</v>
      </c>
      <c r="BQF28" s="48"/>
      <c r="BQG28" s="49"/>
      <c r="BQH28" s="49"/>
      <c r="BQI28" s="49"/>
      <c r="BQJ28" s="49"/>
      <c r="BQK28" s="49"/>
      <c r="BQL28" s="67">
        <f t="shared" si="2261"/>
        <v>0</v>
      </c>
      <c r="BQM28" s="68">
        <f t="shared" si="2262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63"/>
        <v>110</v>
      </c>
      <c r="BQU28" s="68">
        <f t="shared" si="2264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5"/>
        <v>111</v>
      </c>
      <c r="BRC28" s="68">
        <f t="shared" si="2266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7"/>
        <v>111</v>
      </c>
      <c r="BRK28" s="68">
        <f t="shared" si="2268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9"/>
        <v>150</v>
      </c>
      <c r="BRS28" s="68">
        <f t="shared" si="2270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71"/>
        <v>230</v>
      </c>
      <c r="BSA28" s="68">
        <f t="shared" si="2272"/>
        <v>38.333333333333336</v>
      </c>
      <c r="BSB28" s="48"/>
      <c r="BSC28" s="49"/>
      <c r="BSD28" s="49"/>
      <c r="BSE28" s="49"/>
      <c r="BSF28" s="49"/>
      <c r="BSG28" s="49"/>
      <c r="BSH28" s="67">
        <f t="shared" si="2273"/>
        <v>0</v>
      </c>
      <c r="BSI28" s="68">
        <f t="shared" si="2274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5"/>
        <v>100</v>
      </c>
      <c r="BSQ28" s="68">
        <f t="shared" si="2276"/>
        <v>16.666666666666668</v>
      </c>
      <c r="BSR28" s="48"/>
      <c r="BSS28" s="49"/>
      <c r="BST28" s="49"/>
      <c r="BSU28" s="49"/>
      <c r="BSV28" s="49"/>
      <c r="BSW28" s="49"/>
      <c r="BSX28" s="67">
        <f t="shared" si="2277"/>
        <v>0</v>
      </c>
      <c r="BSY28" s="68">
        <f t="shared" si="2278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9"/>
        <v>190</v>
      </c>
      <c r="BTG28" s="68">
        <f t="shared" si="2280"/>
        <v>31.666666666666668</v>
      </c>
      <c r="BTH28" s="48"/>
      <c r="BTI28" s="49"/>
      <c r="BTJ28" s="49"/>
      <c r="BTK28" s="49"/>
      <c r="BTL28" s="49"/>
      <c r="BTM28" s="49"/>
      <c r="BTN28" s="67">
        <f t="shared" si="2281"/>
        <v>0</v>
      </c>
      <c r="BTO28" s="68">
        <f t="shared" si="2282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83"/>
        <v>220</v>
      </c>
      <c r="BTW28" s="68">
        <f t="shared" si="2284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5"/>
        <v>110</v>
      </c>
      <c r="BUE28" s="68">
        <f t="shared" si="2286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7"/>
        <v>107</v>
      </c>
      <c r="BUM28" s="68">
        <f t="shared" si="2288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9"/>
        <v>116</v>
      </c>
      <c r="BUU28" s="68">
        <f t="shared" si="2290"/>
        <v>19.333333333333332</v>
      </c>
      <c r="BUV28" s="48"/>
      <c r="BUW28" s="49"/>
      <c r="BUX28" s="49"/>
      <c r="BUY28" s="49"/>
      <c r="BUZ28" s="49"/>
      <c r="BVA28" s="49"/>
      <c r="BVB28" s="67">
        <f t="shared" si="2291"/>
        <v>0</v>
      </c>
      <c r="BVC28" s="68">
        <f t="shared" si="2292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93"/>
        <v>109</v>
      </c>
      <c r="BVK28" s="68">
        <f t="shared" si="2294"/>
        <v>18.166666666666668</v>
      </c>
      <c r="BVL28" s="48"/>
      <c r="BVM28" s="49"/>
      <c r="BVN28" s="49"/>
      <c r="BVO28" s="49"/>
      <c r="BVP28" s="49"/>
      <c r="BVQ28" s="49"/>
      <c r="BVR28" s="67">
        <f t="shared" si="2295"/>
        <v>0</v>
      </c>
      <c r="BVS28" s="68">
        <f t="shared" si="2296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7"/>
        <v>30</v>
      </c>
      <c r="BWA28" s="68">
        <f t="shared" si="2298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9"/>
        <v>80</v>
      </c>
      <c r="BWI28" s="68">
        <f t="shared" si="2300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301"/>
        <v>10</v>
      </c>
      <c r="BWQ28" s="68">
        <f t="shared" si="2302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303"/>
        <v>111</v>
      </c>
      <c r="BWY28" s="68">
        <f t="shared" si="2304"/>
        <v>18.5</v>
      </c>
      <c r="BWZ28" s="48"/>
      <c r="BXA28" s="49"/>
      <c r="BXB28" s="49"/>
      <c r="BXC28" s="49"/>
      <c r="BXD28" s="49"/>
      <c r="BXE28" s="49"/>
      <c r="BXF28" s="67">
        <f t="shared" si="2305"/>
        <v>0</v>
      </c>
      <c r="BXG28" s="68">
        <f t="shared" si="2306"/>
        <v>0</v>
      </c>
      <c r="BXH28" s="48"/>
      <c r="BXI28" s="49"/>
      <c r="BXJ28" s="49"/>
      <c r="BXK28" s="49"/>
      <c r="BXL28" s="49"/>
      <c r="BXM28" s="49"/>
      <c r="BXN28" s="67">
        <f t="shared" si="2307"/>
        <v>0</v>
      </c>
      <c r="BXO28" s="68">
        <f t="shared" si="2308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9"/>
        <v>105</v>
      </c>
      <c r="BXW28" s="68">
        <f t="shared" si="2310"/>
        <v>17.5</v>
      </c>
      <c r="BXX28" s="48"/>
      <c r="BXY28" s="49"/>
      <c r="BXZ28" s="49"/>
      <c r="BYA28" s="49"/>
      <c r="BYB28" s="49"/>
      <c r="BYC28" s="49"/>
      <c r="BYD28" s="67">
        <f t="shared" si="2311"/>
        <v>0</v>
      </c>
      <c r="BYE28" s="68">
        <f t="shared" si="2312"/>
        <v>0</v>
      </c>
      <c r="BYF28" s="48"/>
      <c r="BYG28" s="49"/>
      <c r="BYH28" s="49"/>
      <c r="BYI28" s="49"/>
      <c r="BYJ28" s="49"/>
      <c r="BYK28" s="49"/>
      <c r="BYL28" s="67">
        <f t="shared" si="2313"/>
        <v>0</v>
      </c>
      <c r="BYM28" s="68">
        <f t="shared" si="2314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5"/>
        <v>217</v>
      </c>
      <c r="BYU28" s="68">
        <f t="shared" si="2316"/>
        <v>36.166666666666664</v>
      </c>
      <c r="BYV28" s="48"/>
      <c r="BYW28" s="49"/>
      <c r="BYX28" s="49"/>
      <c r="BYY28" s="49"/>
      <c r="BYZ28" s="49"/>
      <c r="BZA28" s="49"/>
      <c r="BZB28" s="67">
        <f t="shared" si="2317"/>
        <v>0</v>
      </c>
      <c r="BZC28" s="68">
        <f t="shared" si="2318"/>
        <v>0</v>
      </c>
      <c r="BZD28" s="48"/>
      <c r="BZE28" s="49"/>
      <c r="BZF28" s="49"/>
      <c r="BZG28" s="49"/>
      <c r="BZH28" s="49"/>
      <c r="BZI28" s="49"/>
      <c r="BZJ28" s="67">
        <f t="shared" si="2319"/>
        <v>0</v>
      </c>
      <c r="BZK28" s="68">
        <f t="shared" si="2320"/>
        <v>0</v>
      </c>
      <c r="BZL28" s="48"/>
      <c r="BZM28" s="49"/>
      <c r="BZN28" s="49"/>
      <c r="BZO28" s="49"/>
      <c r="BZP28" s="49"/>
      <c r="BZQ28" s="49"/>
      <c r="BZR28" s="67">
        <f t="shared" si="2321"/>
        <v>0</v>
      </c>
      <c r="BZS28" s="68">
        <f t="shared" si="2322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23"/>
        <v>39</v>
      </c>
      <c r="CAA28" s="68">
        <f t="shared" si="2324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5"/>
        <v>80</v>
      </c>
      <c r="CAI28" s="68">
        <f t="shared" si="2326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7"/>
        <v>50</v>
      </c>
      <c r="CAQ28" s="68">
        <f t="shared" si="2328"/>
        <v>8.3333333333333339</v>
      </c>
      <c r="CAR28" s="201"/>
      <c r="CAS28" s="47"/>
      <c r="CAT28" s="47"/>
      <c r="CAU28" s="47"/>
      <c r="CAV28" s="47"/>
      <c r="CAW28" s="47"/>
      <c r="CAX28" s="67">
        <f t="shared" si="2329"/>
        <v>0</v>
      </c>
      <c r="CAY28" s="68">
        <f t="shared" si="2330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31"/>
        <v>40</v>
      </c>
      <c r="CBG28" s="68">
        <f t="shared" si="2332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33"/>
        <v>38</v>
      </c>
      <c r="CBO28" s="68">
        <f t="shared" si="2334"/>
        <v>6.333333333333333</v>
      </c>
      <c r="CBP28" s="48"/>
      <c r="CBQ28" s="49"/>
      <c r="CBR28" s="49"/>
      <c r="CBS28" s="49"/>
      <c r="CBT28" s="49"/>
      <c r="CBU28" s="49"/>
      <c r="CBV28" s="67">
        <f t="shared" si="2335"/>
        <v>0</v>
      </c>
      <c r="CBW28" s="68">
        <f t="shared" si="2336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7"/>
        <v>50</v>
      </c>
      <c r="CCE28" s="68">
        <f t="shared" si="2338"/>
        <v>8.3333333333333339</v>
      </c>
      <c r="CCF28" s="48"/>
      <c r="CCG28" s="49"/>
      <c r="CCH28" s="49"/>
      <c r="CCI28" s="49"/>
      <c r="CCJ28" s="49"/>
      <c r="CCK28" s="49"/>
      <c r="CCL28" s="67">
        <f t="shared" si="2339"/>
        <v>0</v>
      </c>
      <c r="CCM28" s="68">
        <f t="shared" si="2340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41"/>
        <v>44</v>
      </c>
      <c r="CCU28" s="68">
        <f t="shared" si="2342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43"/>
        <v>20</v>
      </c>
      <c r="CDC28" s="68">
        <f t="shared" si="2344"/>
        <v>3.3333333333333335</v>
      </c>
      <c r="CDD28" s="201"/>
      <c r="CDE28" s="47"/>
      <c r="CDF28" s="47"/>
      <c r="CDG28" s="47"/>
      <c r="CDH28" s="47"/>
      <c r="CDI28" s="47"/>
      <c r="CDJ28" s="67">
        <f t="shared" si="2345"/>
        <v>0</v>
      </c>
      <c r="CDK28" s="68">
        <f t="shared" si="2346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7"/>
        <v>41</v>
      </c>
      <c r="CDS28" s="68">
        <f t="shared" si="2348"/>
        <v>6.833333333333333</v>
      </c>
      <c r="CDT28" s="48"/>
      <c r="CDU28" s="49"/>
      <c r="CDV28" s="49"/>
      <c r="CDW28" s="49"/>
      <c r="CDX28" s="49"/>
      <c r="CDY28" s="49"/>
      <c r="CDZ28" s="67">
        <f t="shared" si="2349"/>
        <v>0</v>
      </c>
      <c r="CEA28" s="68">
        <f t="shared" si="2350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51"/>
        <v>40</v>
      </c>
      <c r="CEI28" s="184">
        <f t="shared" si="2352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53"/>
        <v>30</v>
      </c>
      <c r="CEQ28" s="68">
        <f t="shared" si="2354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5"/>
        <v>0</v>
      </c>
      <c r="CFE28" s="68">
        <f t="shared" si="2356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7"/>
        <v>73</v>
      </c>
      <c r="CFM28" s="68">
        <f t="shared" si="2358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9"/>
        <v>380</v>
      </c>
      <c r="CFU28" s="68">
        <f t="shared" si="2360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61"/>
        <v>40</v>
      </c>
      <c r="CGC28" s="68">
        <f t="shared" si="2362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63"/>
        <v>0</v>
      </c>
      <c r="CGK28" s="68">
        <f t="shared" si="2364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5"/>
        <v>408</v>
      </c>
      <c r="CGS28" s="68">
        <f t="shared" si="2366"/>
        <v>68</v>
      </c>
      <c r="CGT28" s="48"/>
      <c r="CGU28" s="49"/>
      <c r="CGV28" s="49"/>
      <c r="CGW28" s="49"/>
      <c r="CGX28" s="49"/>
      <c r="CGY28" s="49"/>
      <c r="CGZ28" s="64">
        <f t="shared" si="2367"/>
        <v>0</v>
      </c>
      <c r="CHA28" s="68">
        <f t="shared" si="2368"/>
        <v>0</v>
      </c>
      <c r="CHB28" s="48"/>
      <c r="CHC28" s="49"/>
      <c r="CHD28" s="49"/>
      <c r="CHE28" s="49"/>
      <c r="CHF28" s="49"/>
      <c r="CHG28" s="49"/>
      <c r="CHH28" s="64">
        <f t="shared" si="2369"/>
        <v>0</v>
      </c>
      <c r="CHI28" s="68">
        <f t="shared" si="2370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71"/>
        <v>17</v>
      </c>
      <c r="CHQ28" s="68">
        <f t="shared" si="2372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73"/>
        <v>0</v>
      </c>
      <c r="CHY28" s="68">
        <f t="shared" si="2374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5"/>
        <v>39</v>
      </c>
      <c r="CIG28" s="68">
        <f t="shared" si="2376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7"/>
        <v>0</v>
      </c>
      <c r="CIO28" s="68">
        <f t="shared" si="2378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9"/>
        <v>52</v>
      </c>
      <c r="CIW28" s="68">
        <f t="shared" si="2380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81"/>
        <v>40</v>
      </c>
      <c r="CJE28" s="43">
        <f t="shared" si="2382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83"/>
        <v>0</v>
      </c>
      <c r="CJM28" s="43">
        <f t="shared" si="2384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5"/>
        <v>0</v>
      </c>
      <c r="CJU28" s="43">
        <f t="shared" si="2386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7"/>
        <v>0</v>
      </c>
      <c r="CKC28" s="43">
        <f t="shared" si="2388"/>
        <v>0</v>
      </c>
      <c r="CKD28" s="48"/>
      <c r="CKE28" s="49"/>
      <c r="CKF28" s="49"/>
      <c r="CKG28" s="49"/>
      <c r="CKH28" s="49"/>
      <c r="CKI28" s="49"/>
      <c r="CKJ28" s="127">
        <f t="shared" si="2389"/>
        <v>0</v>
      </c>
      <c r="CKK28" s="43">
        <f t="shared" si="2390"/>
        <v>0</v>
      </c>
      <c r="CKL28" s="48"/>
      <c r="CKM28" s="49"/>
      <c r="CKN28" s="49"/>
      <c r="CKO28" s="49"/>
      <c r="CKP28" s="49"/>
      <c r="CKQ28" s="49"/>
      <c r="CKR28" s="127">
        <f t="shared" si="2391"/>
        <v>0</v>
      </c>
      <c r="CKS28" s="43">
        <f t="shared" si="2392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93"/>
        <v>50</v>
      </c>
      <c r="CLA28" s="43">
        <f t="shared" si="2394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5"/>
        <v>21</v>
      </c>
      <c r="CLI28" s="43">
        <f t="shared" si="2396"/>
        <v>3.5</v>
      </c>
      <c r="CLJ28" s="48"/>
      <c r="CLK28" s="49"/>
      <c r="CLL28" s="49"/>
      <c r="CLM28" s="49"/>
      <c r="CLN28" s="49"/>
      <c r="CLO28" s="49"/>
      <c r="CLP28" s="127">
        <f t="shared" si="2397"/>
        <v>0</v>
      </c>
      <c r="CLQ28" s="43">
        <f t="shared" si="2398"/>
        <v>0</v>
      </c>
      <c r="CLR28" s="48"/>
      <c r="CLS28" s="49"/>
      <c r="CLT28" s="49"/>
      <c r="CLU28" s="49"/>
      <c r="CLV28" s="49"/>
      <c r="CLW28" s="49"/>
      <c r="CLX28" s="127">
        <f t="shared" si="2399"/>
        <v>0</v>
      </c>
      <c r="CLY28" s="43">
        <f t="shared" si="2400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401"/>
        <v>0</v>
      </c>
      <c r="CMG28" s="43">
        <f t="shared" si="2402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403"/>
        <v>0</v>
      </c>
      <c r="CMO28" s="43">
        <f t="shared" si="2404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5"/>
        <v>0</v>
      </c>
      <c r="CMW28" s="43">
        <f t="shared" si="2406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7"/>
        <v>30</v>
      </c>
      <c r="CNE28" s="68">
        <f t="shared" si="2408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9"/>
        <v>0</v>
      </c>
      <c r="CNM28" s="68">
        <f t="shared" si="2410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11"/>
        <v>0</v>
      </c>
      <c r="CNU28" s="68">
        <f t="shared" si="2412"/>
        <v>0</v>
      </c>
      <c r="CNV28" s="48"/>
      <c r="CNW28" s="49"/>
      <c r="CNX28" s="49"/>
      <c r="CNY28" s="49"/>
      <c r="CNZ28" s="49"/>
      <c r="COA28" s="49"/>
      <c r="COB28" s="64">
        <f t="shared" si="2413"/>
        <v>0</v>
      </c>
      <c r="COC28" s="68">
        <f t="shared" si="2414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5"/>
        <v>30</v>
      </c>
      <c r="COK28" s="68">
        <f t="shared" si="2416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7"/>
        <v>50</v>
      </c>
      <c r="COS28" s="68">
        <f t="shared" si="2418"/>
        <v>8.3333333333333339</v>
      </c>
      <c r="COT28" s="48"/>
      <c r="COU28" s="49"/>
      <c r="COV28" s="49"/>
      <c r="COW28" s="49"/>
      <c r="COX28" s="49"/>
      <c r="COY28" s="49"/>
      <c r="COZ28" s="64">
        <f t="shared" si="2419"/>
        <v>0</v>
      </c>
      <c r="CPA28" s="68">
        <f t="shared" si="2420"/>
        <v>0</v>
      </c>
      <c r="CPB28" s="48"/>
      <c r="CPC28" s="49"/>
      <c r="CPD28" s="49"/>
      <c r="CPE28" s="49"/>
      <c r="CPF28" s="49"/>
      <c r="CPG28" s="49"/>
      <c r="CPH28" s="64">
        <f t="shared" si="2421"/>
        <v>0</v>
      </c>
      <c r="CPI28" s="68">
        <f t="shared" si="2422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23"/>
        <v>0</v>
      </c>
      <c r="CPQ28" s="68">
        <f t="shared" si="2424"/>
        <v>0</v>
      </c>
      <c r="CPR28" s="82"/>
      <c r="CPS28" s="83"/>
      <c r="CPT28" s="83"/>
      <c r="CPU28" s="83"/>
      <c r="CPV28" s="83"/>
      <c r="CPW28" s="83"/>
      <c r="CPX28" s="64">
        <f t="shared" si="2425"/>
        <v>0</v>
      </c>
      <c r="CPY28" s="68">
        <f t="shared" si="2426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7"/>
        <v>0</v>
      </c>
      <c r="CQG28" s="68">
        <f t="shared" si="2428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9"/>
        <v>40</v>
      </c>
      <c r="CQO28" s="43">
        <f t="shared" si="2430"/>
        <v>6.666666666666667</v>
      </c>
      <c r="CQP28" s="48"/>
      <c r="CQQ28" s="49"/>
      <c r="CQR28" s="49"/>
      <c r="CQS28" s="49"/>
      <c r="CQT28" s="49"/>
      <c r="CQU28" s="49"/>
      <c r="CQV28" s="127">
        <f t="shared" si="2431"/>
        <v>0</v>
      </c>
      <c r="CQW28" s="43">
        <f t="shared" si="2432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33"/>
        <v>0</v>
      </c>
      <c r="CRE28" s="43">
        <f t="shared" si="2434"/>
        <v>0</v>
      </c>
      <c r="CRF28" s="48"/>
      <c r="CRG28" s="49"/>
      <c r="CRH28" s="49"/>
      <c r="CRI28" s="49"/>
      <c r="CRJ28" s="49"/>
      <c r="CRK28" s="49"/>
      <c r="CRL28" s="127">
        <f t="shared" si="2435"/>
        <v>0</v>
      </c>
      <c r="CRM28" s="43">
        <f t="shared" si="2436"/>
        <v>0</v>
      </c>
      <c r="CRN28" s="48"/>
      <c r="CRO28" s="49"/>
      <c r="CRP28" s="49"/>
      <c r="CRQ28" s="49"/>
      <c r="CRR28" s="49"/>
      <c r="CRS28" s="49"/>
      <c r="CRT28" s="127">
        <f t="shared" si="2437"/>
        <v>0</v>
      </c>
      <c r="CRU28" s="43">
        <f t="shared" si="2438"/>
        <v>0</v>
      </c>
      <c r="CRV28" s="239"/>
      <c r="CRW28" s="1"/>
      <c r="CRX28" s="1"/>
      <c r="CRY28" s="1"/>
      <c r="CRZ28" s="1"/>
      <c r="CSA28" s="1"/>
      <c r="CSB28" s="127">
        <f t="shared" si="2439"/>
        <v>0</v>
      </c>
      <c r="CSC28" s="43">
        <f t="shared" si="2440"/>
        <v>0</v>
      </c>
      <c r="CSD28" s="48"/>
      <c r="CSE28" s="49"/>
      <c r="CSF28" s="49"/>
      <c r="CSG28" s="49"/>
      <c r="CSH28" s="49"/>
      <c r="CSI28" s="49"/>
      <c r="CSJ28" s="127">
        <f t="shared" si="2441"/>
        <v>0</v>
      </c>
      <c r="CSK28" s="43">
        <f t="shared" si="2442"/>
        <v>0</v>
      </c>
      <c r="CSL28" s="48"/>
      <c r="CSM28" s="49"/>
      <c r="CSN28" s="49"/>
      <c r="CSO28" s="49"/>
      <c r="CSP28" s="49"/>
      <c r="CSQ28" s="49"/>
      <c r="CSR28" s="127">
        <f t="shared" si="2443"/>
        <v>0</v>
      </c>
      <c r="CSS28" s="43">
        <f t="shared" si="2444"/>
        <v>0</v>
      </c>
      <c r="CST28" s="48"/>
      <c r="CSU28" s="49"/>
      <c r="CSV28" s="49"/>
      <c r="CSW28" s="49"/>
      <c r="CSX28" s="49"/>
      <c r="CSY28" s="49"/>
      <c r="CSZ28" s="127">
        <f t="shared" si="2445"/>
        <v>0</v>
      </c>
      <c r="CTA28" s="43">
        <f t="shared" si="2446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7"/>
        <v>0</v>
      </c>
      <c r="CTI28" s="43">
        <f t="shared" si="2448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9"/>
        <v>0</v>
      </c>
      <c r="CTQ28" s="68">
        <f t="shared" si="2450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51"/>
        <v>0</v>
      </c>
      <c r="CTY28" s="68">
        <f t="shared" si="2452"/>
        <v>0</v>
      </c>
      <c r="CTZ28" s="48"/>
      <c r="CUA28" s="49"/>
      <c r="CUB28" s="49"/>
      <c r="CUC28" s="49"/>
      <c r="CUD28" s="49"/>
      <c r="CUE28" s="49"/>
      <c r="CUF28" s="64">
        <f t="shared" si="2453"/>
        <v>0</v>
      </c>
      <c r="CUG28" s="68">
        <f t="shared" si="2454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5"/>
        <v>30</v>
      </c>
      <c r="CUO28" s="68">
        <f t="shared" si="2456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7"/>
        <v>0</v>
      </c>
      <c r="CUW28" s="68">
        <f t="shared" si="2458"/>
        <v>0</v>
      </c>
      <c r="CUX28" s="48"/>
      <c r="CUY28" s="49"/>
      <c r="CUZ28" s="49"/>
      <c r="CVA28" s="49"/>
      <c r="CVB28" s="49"/>
      <c r="CVC28" s="49"/>
      <c r="CVD28" s="64">
        <f t="shared" si="2459"/>
        <v>0</v>
      </c>
      <c r="CVE28" s="68">
        <f t="shared" si="2460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61"/>
        <v>0</v>
      </c>
      <c r="CVM28" s="68">
        <f t="shared" si="2462"/>
        <v>0</v>
      </c>
      <c r="CVN28" s="48"/>
      <c r="CVO28" s="49"/>
      <c r="CVP28" s="49"/>
      <c r="CVQ28" s="49"/>
      <c r="CVR28" s="49"/>
      <c r="CVS28" s="49"/>
      <c r="CVT28" s="64">
        <f t="shared" si="2463"/>
        <v>0</v>
      </c>
      <c r="CVU28" s="68">
        <f t="shared" si="2464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5"/>
        <v>0</v>
      </c>
      <c r="CWC28" s="68">
        <f t="shared" si="2466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7"/>
        <v>29</v>
      </c>
      <c r="CWK28" s="68">
        <f t="shared" si="2468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9"/>
        <v>0</v>
      </c>
      <c r="CWS28" s="68">
        <f t="shared" si="2470"/>
        <v>0</v>
      </c>
      <c r="CWT28" s="48"/>
      <c r="CWU28" s="49"/>
      <c r="CWV28" s="49"/>
      <c r="CWW28" s="49"/>
      <c r="CWX28" s="49"/>
      <c r="CWY28" s="49"/>
      <c r="CWZ28" s="64">
        <f t="shared" si="2471"/>
        <v>0</v>
      </c>
      <c r="CXA28" s="68">
        <f t="shared" si="2472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73"/>
        <v>20</v>
      </c>
      <c r="CXI28" s="68">
        <f t="shared" si="2474"/>
        <v>3.3333333333333335</v>
      </c>
      <c r="CXJ28" s="48"/>
      <c r="CXK28" s="49"/>
      <c r="CXL28" s="49"/>
      <c r="CXM28" s="49"/>
      <c r="CXN28" s="49"/>
      <c r="CXO28" s="49"/>
      <c r="CXP28" s="64">
        <f t="shared" si="2475"/>
        <v>0</v>
      </c>
      <c r="CXQ28" s="68">
        <f t="shared" si="2476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7"/>
        <v>30</v>
      </c>
      <c r="CXY28" s="68">
        <f t="shared" si="2478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9"/>
        <v>40</v>
      </c>
      <c r="CYG28" s="68">
        <f t="shared" si="2480"/>
        <v>6.666666666666667</v>
      </c>
      <c r="CYH28" s="48"/>
      <c r="CYI28" s="49"/>
      <c r="CYJ28" s="49"/>
      <c r="CYK28" s="49"/>
      <c r="CYL28" s="49"/>
      <c r="CYM28" s="49"/>
      <c r="CYN28" s="64">
        <f t="shared" si="2481"/>
        <v>0</v>
      </c>
      <c r="CYO28" s="68">
        <f t="shared" si="2482"/>
        <v>0</v>
      </c>
      <c r="CYP28" s="48"/>
      <c r="CYQ28" s="49"/>
      <c r="CYR28" s="49"/>
      <c r="CYS28" s="49"/>
      <c r="CYT28" s="49"/>
      <c r="CYU28" s="49"/>
      <c r="CYV28" s="64">
        <f t="shared" si="2483"/>
        <v>0</v>
      </c>
      <c r="CYW28" s="68">
        <f t="shared" si="2484"/>
        <v>0</v>
      </c>
      <c r="CYX28" s="48"/>
      <c r="CYY28" s="49"/>
      <c r="CYZ28" s="49"/>
      <c r="CZA28" s="49"/>
      <c r="CZB28" s="49"/>
      <c r="CZC28" s="49"/>
      <c r="CZD28" s="64">
        <f t="shared" si="2485"/>
        <v>0</v>
      </c>
      <c r="CZE28" s="68">
        <f t="shared" si="2486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3"/>
        <v>30</v>
      </c>
      <c r="CZM28" s="68">
        <f t="shared" si="1654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5"/>
        <v>50</v>
      </c>
      <c r="CZU28" s="68">
        <f t="shared" si="1656"/>
        <v>8.3333333333333339</v>
      </c>
      <c r="CZV28" s="48"/>
      <c r="CZW28" s="49"/>
      <c r="CZX28" s="49"/>
      <c r="CZY28" s="49"/>
      <c r="CZZ28" s="49"/>
      <c r="DAA28" s="49"/>
      <c r="DAB28" s="64">
        <f t="shared" si="1657"/>
        <v>0</v>
      </c>
      <c r="DAC28" s="68">
        <f t="shared" si="1658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9"/>
        <v>20</v>
      </c>
      <c r="DAK28" s="68">
        <f t="shared" si="1660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61"/>
        <v>20</v>
      </c>
      <c r="DAS28" s="68">
        <f t="shared" si="1662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3"/>
        <v>30</v>
      </c>
      <c r="DBA28" s="68">
        <f t="shared" si="1664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5"/>
        <v>0</v>
      </c>
      <c r="DBI28" s="492">
        <f t="shared" si="1666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7"/>
        <v>0</v>
      </c>
      <c r="DBQ28" s="68">
        <f t="shared" si="1668"/>
        <v>0</v>
      </c>
      <c r="DBR28" s="48"/>
      <c r="DBS28" s="49"/>
      <c r="DBT28" s="49"/>
      <c r="DBU28" s="49"/>
      <c r="DBV28" s="49"/>
      <c r="DBW28" s="49"/>
      <c r="DBX28" s="64">
        <f t="shared" si="1669"/>
        <v>0</v>
      </c>
      <c r="DBY28" s="68">
        <f t="shared" si="1670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71"/>
        <v>17</v>
      </c>
      <c r="DCG28" s="492">
        <f t="shared" si="1672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3"/>
        <v>50</v>
      </c>
      <c r="DCO28" s="68">
        <f t="shared" si="1674"/>
        <v>8.3333333333333339</v>
      </c>
      <c r="DCP28" s="48"/>
      <c r="DCQ28" s="49"/>
      <c r="DCR28" s="49"/>
      <c r="DCS28" s="49"/>
      <c r="DCT28" s="49"/>
      <c r="DCU28" s="49"/>
      <c r="DCV28" s="491">
        <f t="shared" si="1675"/>
        <v>0</v>
      </c>
      <c r="DCW28" s="492">
        <f t="shared" si="1676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7"/>
        <v>40</v>
      </c>
      <c r="DDE28" s="492">
        <f t="shared" si="1678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9"/>
        <v>0</v>
      </c>
      <c r="DDM28" s="492">
        <f t="shared" si="1680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81"/>
        <v>0</v>
      </c>
      <c r="DDU28" s="68">
        <f t="shared" si="1682"/>
        <v>0</v>
      </c>
      <c r="DDV28" s="48"/>
      <c r="DDW28" s="49"/>
      <c r="DDX28" s="49"/>
      <c r="DDY28" s="49"/>
      <c r="DDZ28" s="49"/>
      <c r="DEA28" s="49"/>
      <c r="DEB28" s="491">
        <f t="shared" si="1683"/>
        <v>0</v>
      </c>
      <c r="DEC28" s="492">
        <f t="shared" si="1684"/>
        <v>0</v>
      </c>
      <c r="DED28" s="48"/>
      <c r="DEE28" s="49"/>
      <c r="DEF28" s="49"/>
      <c r="DEG28" s="49"/>
      <c r="DEH28" s="49"/>
      <c r="DEI28" s="49"/>
      <c r="DEJ28" s="491">
        <f t="shared" si="1685"/>
        <v>0</v>
      </c>
      <c r="DEK28" s="492">
        <f t="shared" si="1686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7"/>
        <v>0</v>
      </c>
      <c r="DES28" s="68">
        <f t="shared" si="1688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9"/>
        <v>30</v>
      </c>
      <c r="DFA28" s="492">
        <f t="shared" si="1690"/>
        <v>5</v>
      </c>
      <c r="DFB28" s="82"/>
      <c r="DFC28" s="83"/>
      <c r="DFD28" s="83"/>
      <c r="DFE28" s="83"/>
      <c r="DFF28" s="83"/>
      <c r="DFG28" s="83"/>
      <c r="DFH28" s="64">
        <f t="shared" si="1691"/>
        <v>0</v>
      </c>
      <c r="DFI28" s="68">
        <f t="shared" si="1692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3"/>
        <v>30</v>
      </c>
      <c r="DFQ28" s="68">
        <f t="shared" si="1694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5"/>
        <v>20</v>
      </c>
      <c r="DFY28" s="68">
        <f t="shared" si="1696"/>
        <v>3.3333333333333335</v>
      </c>
      <c r="DFZ28" s="48"/>
      <c r="DGA28" s="49"/>
      <c r="DGB28" s="49"/>
      <c r="DGC28" s="49"/>
      <c r="DGD28" s="49"/>
      <c r="DGE28" s="49"/>
      <c r="DGF28" s="64">
        <f t="shared" si="1697"/>
        <v>0</v>
      </c>
      <c r="DGG28" s="68">
        <f t="shared" si="1698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9"/>
        <v>40</v>
      </c>
      <c r="DGO28" s="68">
        <f t="shared" si="1700"/>
        <v>6.666666666666667</v>
      </c>
      <c r="DGP28" s="48"/>
      <c r="DGQ28" s="49"/>
      <c r="DGR28" s="49"/>
      <c r="DGS28" s="49"/>
      <c r="DGT28" s="49"/>
      <c r="DGU28" s="49"/>
      <c r="DGV28" s="64">
        <f t="shared" si="1701"/>
        <v>0</v>
      </c>
      <c r="DGW28" s="68">
        <f t="shared" si="1702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3"/>
        <v>0</v>
      </c>
      <c r="DHE28" s="68">
        <f t="shared" si="1704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5"/>
        <v>100</v>
      </c>
      <c r="DHM28" s="68">
        <f t="shared" si="1706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7"/>
        <v>50</v>
      </c>
      <c r="DHU28" s="68">
        <f t="shared" si="1708"/>
        <v>8.3333333333333339</v>
      </c>
      <c r="DHV28" s="48"/>
      <c r="DHW28" s="49"/>
      <c r="DHX28" s="49"/>
      <c r="DHY28" s="49"/>
      <c r="DHZ28" s="49"/>
      <c r="DIA28" s="49"/>
      <c r="DIB28" s="64">
        <f t="shared" si="1709"/>
        <v>0</v>
      </c>
      <c r="DIC28" s="68">
        <f t="shared" si="1710"/>
        <v>0</v>
      </c>
      <c r="DID28" s="48"/>
      <c r="DIE28" s="49"/>
      <c r="DIF28" s="49"/>
      <c r="DIG28" s="49"/>
      <c r="DIH28" s="49"/>
      <c r="DII28" s="49"/>
      <c r="DIJ28" s="64">
        <f t="shared" si="1711"/>
        <v>0</v>
      </c>
      <c r="DIK28" s="184">
        <f t="shared" si="1712"/>
        <v>0</v>
      </c>
      <c r="DIL28" s="195"/>
      <c r="DIM28" s="49"/>
      <c r="DIN28" s="49"/>
      <c r="DIO28" s="49"/>
      <c r="DIP28" s="49"/>
      <c r="DIQ28" s="49"/>
      <c r="DIR28" s="64">
        <f t="shared" si="1713"/>
        <v>0</v>
      </c>
      <c r="DIS28" s="184">
        <f t="shared" si="1714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5"/>
        <v>0</v>
      </c>
      <c r="DJA28" s="68">
        <f t="shared" si="1716"/>
        <v>0</v>
      </c>
      <c r="DJB28" s="48"/>
      <c r="DJC28" s="49"/>
      <c r="DJD28" s="49"/>
      <c r="DJE28" s="49"/>
      <c r="DJF28" s="49"/>
      <c r="DJG28" s="49"/>
      <c r="DJH28" s="64">
        <f t="shared" si="2487"/>
        <v>0</v>
      </c>
      <c r="DJI28" s="68">
        <f t="shared" si="2488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9"/>
        <v>0</v>
      </c>
      <c r="DJQ28" s="68">
        <f t="shared" si="2490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91"/>
        <v>0</v>
      </c>
      <c r="DJY28" s="68">
        <f t="shared" si="2492"/>
        <v>0</v>
      </c>
      <c r="DJZ28" s="48"/>
      <c r="DKA28" s="49"/>
      <c r="DKB28" s="49"/>
      <c r="DKC28" s="49"/>
      <c r="DKD28" s="49"/>
      <c r="DKE28" s="49"/>
      <c r="DKF28" s="64">
        <f t="shared" si="2493"/>
        <v>0</v>
      </c>
      <c r="DKG28" s="68">
        <f t="shared" si="2494"/>
        <v>0</v>
      </c>
      <c r="DKH28" s="48"/>
      <c r="DKI28" s="49"/>
      <c r="DKJ28" s="49"/>
      <c r="DKK28" s="49"/>
      <c r="DKL28" s="49"/>
      <c r="DKM28" s="49"/>
      <c r="DKN28" s="64">
        <f t="shared" si="2495"/>
        <v>0</v>
      </c>
      <c r="DKO28" s="68">
        <f t="shared" si="2496"/>
        <v>0</v>
      </c>
      <c r="DKP28" s="48"/>
      <c r="DKQ28" s="49"/>
      <c r="DKR28" s="49"/>
      <c r="DKS28" s="49"/>
      <c r="DKT28" s="49"/>
      <c r="DKU28" s="49"/>
      <c r="DKV28" s="64">
        <f t="shared" si="2497"/>
        <v>0</v>
      </c>
      <c r="DKW28" s="184">
        <f t="shared" si="2498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9"/>
        <v>20</v>
      </c>
      <c r="DLE28" s="184">
        <f t="shared" si="2500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501"/>
        <v>50</v>
      </c>
      <c r="DLM28" s="68">
        <f t="shared" si="2502"/>
        <v>8.3333333333333339</v>
      </c>
      <c r="DLN28" s="48"/>
      <c r="DLO28" s="49"/>
      <c r="DLP28" s="49"/>
      <c r="DLQ28" s="49"/>
      <c r="DLR28" s="49"/>
      <c r="DLS28" s="49"/>
      <c r="DLT28" s="64">
        <f t="shared" si="2503"/>
        <v>0</v>
      </c>
      <c r="DLU28" s="68">
        <f t="shared" si="2504"/>
        <v>0</v>
      </c>
      <c r="DLV28" s="48"/>
      <c r="DLW28" s="49"/>
      <c r="DLX28" s="49"/>
      <c r="DLY28" s="49"/>
      <c r="DLZ28" s="49"/>
      <c r="DMA28" s="49"/>
      <c r="DMB28" s="64">
        <f t="shared" si="2505"/>
        <v>0</v>
      </c>
      <c r="DMC28" s="68">
        <f t="shared" si="2506"/>
        <v>0</v>
      </c>
      <c r="DMD28" s="48"/>
      <c r="DME28" s="49"/>
      <c r="DMF28" s="49"/>
      <c r="DMG28" s="49"/>
      <c r="DMH28" s="49"/>
      <c r="DMI28" s="49"/>
      <c r="DMJ28" s="64">
        <f t="shared" si="2507"/>
        <v>0</v>
      </c>
      <c r="DMK28" s="68">
        <f t="shared" si="2508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9"/>
        <v>50</v>
      </c>
      <c r="DMS28" s="68">
        <f t="shared" si="2510"/>
        <v>8.3333333333333339</v>
      </c>
      <c r="DMT28" s="48"/>
      <c r="DMU28" s="49"/>
      <c r="DMV28" s="49"/>
      <c r="DMW28" s="49"/>
      <c r="DMX28" s="49"/>
      <c r="DMY28" s="49"/>
      <c r="DMZ28" s="64">
        <f t="shared" si="2511"/>
        <v>0</v>
      </c>
      <c r="DNA28" s="68">
        <f t="shared" si="2512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13"/>
        <v>50</v>
      </c>
      <c r="DNI28" s="68">
        <f t="shared" si="2514"/>
        <v>8.3333333333333339</v>
      </c>
      <c r="DNJ28" s="48"/>
      <c r="DNK28" s="49"/>
      <c r="DNL28" s="49"/>
      <c r="DNM28" s="49"/>
      <c r="DNN28" s="49"/>
      <c r="DNO28" s="49"/>
      <c r="DNP28" s="64">
        <f t="shared" si="2515"/>
        <v>0</v>
      </c>
      <c r="DNQ28" s="68">
        <f t="shared" si="2516"/>
        <v>0</v>
      </c>
      <c r="DNR28" s="48"/>
      <c r="DNS28" s="49"/>
      <c r="DNT28" s="49"/>
      <c r="DNU28" s="49"/>
      <c r="DNV28" s="49"/>
      <c r="DNW28" s="49"/>
      <c r="DNX28" s="64">
        <f t="shared" si="2517"/>
        <v>0</v>
      </c>
      <c r="DNY28" s="68">
        <f t="shared" si="2518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9"/>
        <v>0</v>
      </c>
      <c r="DOG28" s="68">
        <f t="shared" si="2520"/>
        <v>0</v>
      </c>
      <c r="DOH28" s="48"/>
      <c r="DOI28" s="49"/>
      <c r="DOJ28" s="49"/>
      <c r="DOK28" s="49"/>
      <c r="DOL28" s="49"/>
      <c r="DOM28" s="49"/>
      <c r="DON28" s="64">
        <f t="shared" si="2521"/>
        <v>0</v>
      </c>
      <c r="DOO28" s="68">
        <f t="shared" si="2522"/>
        <v>0</v>
      </c>
      <c r="DOP28" s="48"/>
      <c r="DOQ28" s="49"/>
      <c r="DOR28" s="49"/>
      <c r="DOS28" s="49"/>
      <c r="DOT28" s="49"/>
      <c r="DOU28" s="49"/>
      <c r="DOV28" s="64">
        <f t="shared" si="2523"/>
        <v>0</v>
      </c>
      <c r="DOW28" s="68">
        <f t="shared" si="2524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5"/>
        <v>50</v>
      </c>
      <c r="DPE28" s="68">
        <f t="shared" si="2526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7"/>
        <v>0</v>
      </c>
      <c r="DPM28" s="68">
        <f t="shared" si="2528"/>
        <v>0</v>
      </c>
      <c r="DPN28" s="48"/>
      <c r="DPO28" s="49"/>
      <c r="DPP28" s="49"/>
      <c r="DPQ28" s="49"/>
      <c r="DPR28" s="49"/>
      <c r="DPS28" s="49"/>
      <c r="DPT28" s="64">
        <f t="shared" si="2529"/>
        <v>0</v>
      </c>
      <c r="DPU28" s="68">
        <f t="shared" si="2530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31"/>
        <v>20</v>
      </c>
      <c r="DQC28" s="68">
        <f t="shared" si="2532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33"/>
        <v>30</v>
      </c>
      <c r="DQK28" s="68">
        <f t="shared" si="2534"/>
        <v>5</v>
      </c>
      <c r="DQL28" s="48"/>
      <c r="DQM28" s="49"/>
      <c r="DQN28" s="49"/>
      <c r="DQO28" s="49"/>
      <c r="DQP28" s="49"/>
      <c r="DQQ28" s="49"/>
      <c r="DQR28" s="64">
        <f t="shared" si="2535"/>
        <v>0</v>
      </c>
      <c r="DQS28" s="68">
        <f t="shared" si="2536"/>
        <v>0</v>
      </c>
      <c r="DQT28" s="48"/>
      <c r="DQU28" s="49"/>
      <c r="DQV28" s="49"/>
      <c r="DQW28" s="49"/>
      <c r="DQX28" s="49"/>
      <c r="DQY28" s="49"/>
      <c r="DQZ28" s="64">
        <f t="shared" si="2537"/>
        <v>0</v>
      </c>
      <c r="DRA28" s="68">
        <f t="shared" si="2538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9"/>
        <v>30</v>
      </c>
      <c r="DRI28" s="68">
        <f t="shared" si="2540"/>
        <v>5</v>
      </c>
      <c r="DRJ28" s="48"/>
      <c r="DRK28" s="49"/>
      <c r="DRL28" s="49"/>
      <c r="DRM28" s="49"/>
      <c r="DRN28" s="49"/>
      <c r="DRO28" s="49"/>
      <c r="DRP28" s="64">
        <f t="shared" si="2541"/>
        <v>0</v>
      </c>
      <c r="DRQ28" s="68">
        <f t="shared" si="2542"/>
        <v>0</v>
      </c>
      <c r="DRR28" s="48"/>
      <c r="DRS28" s="49"/>
      <c r="DRT28" s="49"/>
      <c r="DRU28" s="49"/>
      <c r="DRV28" s="49"/>
      <c r="DRW28" s="49"/>
      <c r="DRX28" s="64">
        <f t="shared" si="2543"/>
        <v>0</v>
      </c>
      <c r="DRY28" s="68">
        <f t="shared" si="2544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5"/>
        <v>50</v>
      </c>
      <c r="DSG28" s="68">
        <f t="shared" si="2546"/>
        <v>8.3333333333333339</v>
      </c>
      <c r="DSH28" s="48"/>
      <c r="DSI28" s="49"/>
      <c r="DSJ28" s="49"/>
      <c r="DSK28" s="49"/>
      <c r="DSL28" s="49"/>
      <c r="DSM28" s="49"/>
      <c r="DSN28" s="64">
        <f t="shared" si="2547"/>
        <v>0</v>
      </c>
      <c r="DSO28" s="68">
        <f t="shared" si="2548"/>
        <v>0</v>
      </c>
      <c r="DSP28" s="48"/>
      <c r="DSQ28" s="49"/>
      <c r="DSR28" s="49"/>
      <c r="DSS28" s="49"/>
      <c r="DST28" s="49"/>
      <c r="DSU28" s="49"/>
      <c r="DSV28" s="64">
        <f t="shared" si="2549"/>
        <v>0</v>
      </c>
      <c r="DSW28" s="68">
        <f t="shared" si="2550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51"/>
        <v>30</v>
      </c>
      <c r="DTE28" s="68">
        <f t="shared" si="2552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53"/>
        <v>40</v>
      </c>
      <c r="DTU28" s="68">
        <f t="shared" si="2554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5"/>
        <v>0</v>
      </c>
      <c r="DUC28" s="68">
        <f t="shared" si="2556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7"/>
        <v>0</v>
      </c>
      <c r="DUK28" s="68">
        <f t="shared" si="2558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9"/>
        <v>51</v>
      </c>
      <c r="DUS28" s="68">
        <f t="shared" si="2560"/>
        <v>8.5</v>
      </c>
      <c r="DUT28" s="48"/>
      <c r="DUU28" s="49"/>
      <c r="DUV28" s="49"/>
      <c r="DUW28" s="49"/>
      <c r="DUX28" s="49"/>
      <c r="DUY28" s="49"/>
      <c r="DUZ28" s="64">
        <f t="shared" si="2561"/>
        <v>0</v>
      </c>
      <c r="DVA28" s="68">
        <f t="shared" si="2562"/>
        <v>0</v>
      </c>
      <c r="DVB28" s="48"/>
      <c r="DVC28" s="49"/>
      <c r="DVD28" s="49"/>
      <c r="DVE28" s="49"/>
      <c r="DVF28" s="49"/>
      <c r="DVG28" s="49"/>
      <c r="DVH28" s="64">
        <f t="shared" si="2563"/>
        <v>0</v>
      </c>
      <c r="DVI28" s="68">
        <f t="shared" si="2564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5"/>
        <v>52</v>
      </c>
      <c r="DVQ28" s="68">
        <f t="shared" si="2566"/>
        <v>8.6666666666666661</v>
      </c>
      <c r="DVR28" s="201"/>
      <c r="DVS28" s="47"/>
      <c r="DVT28" s="47"/>
      <c r="DVU28" s="47"/>
      <c r="DVV28" s="47"/>
      <c r="DVW28" s="47"/>
      <c r="DVX28" s="64">
        <f t="shared" si="2567"/>
        <v>0</v>
      </c>
      <c r="DVY28" s="68">
        <f t="shared" si="2568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9"/>
        <v>49</v>
      </c>
      <c r="DWG28" s="68">
        <f t="shared" si="2570"/>
        <v>8.1666666666666661</v>
      </c>
      <c r="DWH28" s="48"/>
      <c r="DWI28" s="49"/>
      <c r="DWJ28" s="49"/>
      <c r="DWK28" s="49"/>
      <c r="DWL28" s="49"/>
      <c r="DWM28" s="49"/>
      <c r="DWN28" s="64">
        <f t="shared" si="2571"/>
        <v>0</v>
      </c>
      <c r="DWO28" s="68">
        <f t="shared" si="2572"/>
        <v>0</v>
      </c>
      <c r="DWP28" s="48"/>
      <c r="DWQ28" s="49"/>
      <c r="DWR28" s="49"/>
      <c r="DWS28" s="49"/>
      <c r="DWT28" s="49"/>
      <c r="DWU28" s="49"/>
      <c r="DWV28" s="64">
        <f t="shared" si="2573"/>
        <v>0</v>
      </c>
      <c r="DWW28" s="68">
        <f t="shared" si="2574"/>
        <v>0</v>
      </c>
      <c r="DWX28" s="48"/>
      <c r="DWY28" s="49"/>
      <c r="DWZ28" s="49"/>
      <c r="DXA28" s="49"/>
      <c r="DXB28" s="49"/>
      <c r="DXC28" s="49"/>
      <c r="DXD28" s="64">
        <f t="shared" si="2575"/>
        <v>0</v>
      </c>
      <c r="DXE28" s="68">
        <f t="shared" si="2576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7"/>
        <v>40</v>
      </c>
      <c r="DXM28" s="68">
        <f t="shared" si="2578"/>
        <v>6.666666666666667</v>
      </c>
      <c r="DXN28" s="48"/>
      <c r="DXO28" s="49"/>
      <c r="DXP28" s="49"/>
      <c r="DXQ28" s="49"/>
      <c r="DXR28" s="49"/>
      <c r="DXS28" s="49"/>
      <c r="DXT28" s="64">
        <f t="shared" si="2579"/>
        <v>0</v>
      </c>
      <c r="DXU28" s="184">
        <f t="shared" si="2580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81"/>
        <v>0</v>
      </c>
      <c r="DYD28" s="211">
        <f t="shared" si="2582"/>
        <v>0</v>
      </c>
      <c r="DYE28" s="195"/>
      <c r="DYF28" s="49"/>
      <c r="DYG28" s="49"/>
      <c r="DYH28" s="49"/>
      <c r="DYI28" s="49"/>
      <c r="DYJ28" s="49"/>
      <c r="DYK28" s="64">
        <f t="shared" si="2583"/>
        <v>0</v>
      </c>
      <c r="DYL28" s="211">
        <f t="shared" si="2584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5"/>
        <v>30</v>
      </c>
      <c r="DYT28" s="211">
        <f t="shared" si="2586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7"/>
        <v>0</v>
      </c>
      <c r="DZB28" s="211">
        <f t="shared" si="2588"/>
        <v>0</v>
      </c>
      <c r="DZC28" s="195"/>
      <c r="DZD28" s="49"/>
      <c r="DZE28" s="49"/>
      <c r="DZF28" s="49"/>
      <c r="DZG28" s="49"/>
      <c r="DZH28" s="49"/>
      <c r="DZI28" s="64">
        <f t="shared" si="2589"/>
        <v>0</v>
      </c>
      <c r="DZJ28" s="211">
        <f t="shared" si="2590"/>
        <v>0</v>
      </c>
      <c r="DZK28" s="195"/>
      <c r="DZL28" s="49"/>
      <c r="DZM28" s="49"/>
      <c r="DZN28" s="49"/>
      <c r="DZO28" s="49"/>
      <c r="DZP28" s="49"/>
      <c r="DZQ28" s="64">
        <f t="shared" si="2591"/>
        <v>0</v>
      </c>
      <c r="DZR28" s="211">
        <f t="shared" si="2592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93"/>
        <v>30</v>
      </c>
      <c r="DZZ28" s="211">
        <f t="shared" si="2594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5"/>
        <v>0</v>
      </c>
      <c r="EAH28" s="211">
        <f t="shared" si="2596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7"/>
        <v>0</v>
      </c>
      <c r="EAP28" s="211">
        <f t="shared" si="2598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9"/>
        <v>3.3333333333333335</v>
      </c>
      <c r="EAY28" s="195"/>
      <c r="EAZ28" s="49"/>
      <c r="EBA28" s="49"/>
      <c r="EBB28" s="49"/>
      <c r="EBC28" s="49"/>
      <c r="EBD28" s="49"/>
      <c r="EBE28" s="64">
        <f t="shared" si="1774"/>
        <v>0</v>
      </c>
      <c r="EBF28" s="211">
        <f t="shared" si="1775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600"/>
        <v>0</v>
      </c>
      <c r="EBN28" s="211">
        <f t="shared" si="2601"/>
        <v>0</v>
      </c>
      <c r="EBO28" s="195"/>
      <c r="EBP28" s="49"/>
      <c r="EBQ28" s="49"/>
      <c r="EBR28" s="49"/>
      <c r="EBS28" s="49"/>
      <c r="EBT28" s="49"/>
      <c r="EBU28" s="64">
        <f t="shared" si="2602"/>
        <v>0</v>
      </c>
      <c r="EBV28" s="211">
        <f t="shared" si="2603"/>
        <v>0</v>
      </c>
      <c r="EBW28" s="195"/>
      <c r="EBX28" s="49"/>
      <c r="EBY28" s="49"/>
      <c r="EBZ28" s="49"/>
      <c r="ECA28" s="49"/>
      <c r="ECB28" s="49"/>
      <c r="ECC28" s="64">
        <f t="shared" si="2604"/>
        <v>0</v>
      </c>
      <c r="ECD28" s="211">
        <f t="shared" si="2605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6"/>
        <v>49</v>
      </c>
      <c r="ECL28" s="211">
        <f t="shared" si="2607"/>
        <v>8.1666666666666661</v>
      </c>
      <c r="ECM28" s="195"/>
      <c r="ECN28" s="49"/>
      <c r="ECO28" s="49"/>
      <c r="ECP28" s="49"/>
      <c r="ECQ28" s="49"/>
      <c r="ECR28" s="49"/>
      <c r="ECS28" s="64">
        <f t="shared" si="2608"/>
        <v>0</v>
      </c>
      <c r="ECT28" s="211">
        <f t="shared" si="2609"/>
        <v>0</v>
      </c>
      <c r="ECU28" s="195"/>
      <c r="ECV28" s="49"/>
      <c r="ECW28" s="49"/>
      <c r="ECX28" s="49"/>
      <c r="ECY28" s="49"/>
      <c r="ECZ28" s="49"/>
      <c r="EDA28" s="64">
        <f t="shared" si="2610"/>
        <v>0</v>
      </c>
      <c r="EDB28" s="211">
        <f t="shared" si="2611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12"/>
        <v>0</v>
      </c>
      <c r="EDJ28" s="211">
        <f t="shared" si="2613"/>
        <v>0</v>
      </c>
      <c r="EDK28" s="458"/>
      <c r="EDL28" s="83"/>
      <c r="EDM28" s="83"/>
      <c r="EDN28" s="83"/>
      <c r="EDO28" s="83"/>
      <c r="EDP28" s="83"/>
      <c r="EDQ28" s="64">
        <f t="shared" si="2614"/>
        <v>0</v>
      </c>
      <c r="EDR28" s="211">
        <f t="shared" si="2615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6"/>
        <v>50</v>
      </c>
      <c r="EDZ28" s="211">
        <f t="shared" si="2617"/>
        <v>8.3333333333333339</v>
      </c>
      <c r="EEA28" s="195"/>
      <c r="EEB28" s="49"/>
      <c r="EEC28" s="49"/>
      <c r="EED28" s="49"/>
      <c r="EEE28" s="49"/>
      <c r="EEF28" s="49"/>
      <c r="EEG28" s="64">
        <f t="shared" si="2618"/>
        <v>0</v>
      </c>
      <c r="EEH28" s="211">
        <f t="shared" si="2619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20"/>
        <v>0</v>
      </c>
      <c r="EEP28" s="211">
        <f t="shared" si="2621"/>
        <v>0</v>
      </c>
      <c r="EEQ28" s="195"/>
      <c r="EER28" s="49"/>
      <c r="EES28" s="49"/>
      <c r="EET28" s="49"/>
      <c r="EEU28" s="49"/>
      <c r="EEV28" s="49"/>
      <c r="EEW28" s="64">
        <f t="shared" si="2622"/>
        <v>0</v>
      </c>
      <c r="EEX28" s="211">
        <f t="shared" si="2623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4"/>
        <v>30</v>
      </c>
      <c r="EFF28" s="707">
        <f t="shared" si="2625"/>
        <v>5</v>
      </c>
      <c r="EFG28" s="195"/>
      <c r="EFH28" s="49"/>
      <c r="EFI28" s="49"/>
      <c r="EFJ28" s="49"/>
      <c r="EFK28" s="49"/>
      <c r="EFL28" s="49"/>
      <c r="EFM28" s="64">
        <f t="shared" si="2626"/>
        <v>0</v>
      </c>
      <c r="EFN28" s="211">
        <f t="shared" si="2627"/>
        <v>0</v>
      </c>
      <c r="EFO28" s="458"/>
      <c r="EFP28" s="83"/>
      <c r="EFQ28" s="83"/>
      <c r="EFR28" s="83"/>
      <c r="EFS28" s="83"/>
      <c r="EFT28" s="83"/>
      <c r="EFU28" s="64">
        <f t="shared" si="2628"/>
        <v>0</v>
      </c>
      <c r="EFV28" s="211">
        <f t="shared" si="2629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30"/>
        <v>50</v>
      </c>
      <c r="EGD28" s="211">
        <f t="shared" si="2631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32"/>
        <v>0</v>
      </c>
      <c r="EGL28" s="211">
        <f t="shared" si="2633"/>
        <v>0</v>
      </c>
      <c r="EGM28" s="814"/>
      <c r="EGN28" s="815"/>
      <c r="EGO28" s="815"/>
      <c r="EGP28" s="815"/>
      <c r="EGQ28" s="815"/>
      <c r="EGR28" s="815"/>
      <c r="EGS28" s="808">
        <f t="shared" si="2634"/>
        <v>0</v>
      </c>
      <c r="EGT28" s="211">
        <f t="shared" si="2635"/>
        <v>0</v>
      </c>
      <c r="EGU28" s="195"/>
      <c r="EGV28" s="49"/>
      <c r="EGW28" s="49"/>
      <c r="EGX28" s="49"/>
      <c r="EGY28" s="49"/>
      <c r="EGZ28" s="49"/>
      <c r="EHA28" s="808">
        <f t="shared" si="2636"/>
        <v>0</v>
      </c>
      <c r="EHB28" s="211">
        <f t="shared" si="2637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8"/>
        <v>50</v>
      </c>
      <c r="EHJ28" s="211">
        <f t="shared" si="2639"/>
        <v>8.3333333333333339</v>
      </c>
      <c r="EHK28" s="195"/>
      <c r="EHL28" s="49"/>
      <c r="EHM28" s="49"/>
      <c r="EHN28" s="49"/>
      <c r="EHO28" s="49"/>
      <c r="EHP28" s="49"/>
      <c r="EHQ28" s="808">
        <f t="shared" si="2640"/>
        <v>0</v>
      </c>
      <c r="EHR28" s="211">
        <f t="shared" si="2641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42"/>
        <v>28</v>
      </c>
      <c r="EHZ28" s="211">
        <f t="shared" si="2643"/>
        <v>4.666666666666667</v>
      </c>
      <c r="EIA28" s="195"/>
      <c r="EIB28" s="49"/>
      <c r="EIC28" s="49"/>
      <c r="EID28" s="49"/>
      <c r="EIE28" s="49"/>
      <c r="EIF28" s="49"/>
      <c r="EIG28" s="808">
        <f t="shared" si="2644"/>
        <v>0</v>
      </c>
      <c r="EIH28" s="211">
        <f t="shared" si="2645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6"/>
        <v>51</v>
      </c>
      <c r="EIP28" s="211">
        <f t="shared" si="2647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8"/>
        <v>80</v>
      </c>
      <c r="EIX28" s="211">
        <f t="shared" si="2649"/>
        <v>13.333333333333334</v>
      </c>
      <c r="EIY28" s="195"/>
      <c r="EIZ28" s="49"/>
      <c r="EJA28" s="49"/>
      <c r="EJB28" s="49"/>
      <c r="EJC28" s="49"/>
      <c r="EJD28" s="49"/>
      <c r="EJE28" s="808">
        <f t="shared" si="2650"/>
        <v>0</v>
      </c>
      <c r="EJF28" s="211">
        <f t="shared" si="2651"/>
        <v>0</v>
      </c>
      <c r="EJG28" s="195"/>
      <c r="EJH28" s="49"/>
      <c r="EJI28" s="49"/>
      <c r="EJJ28" s="49"/>
      <c r="EJK28" s="49"/>
      <c r="EJL28" s="49"/>
      <c r="EJM28" s="808">
        <f t="shared" si="2652"/>
        <v>0</v>
      </c>
      <c r="EJN28" s="211">
        <f t="shared" si="2653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4"/>
        <v>30</v>
      </c>
      <c r="EJV28" s="211">
        <f t="shared" si="2655"/>
        <v>5</v>
      </c>
      <c r="EJW28" s="195"/>
      <c r="EJX28" s="49"/>
      <c r="EJY28" s="49"/>
      <c r="EJZ28" s="49"/>
      <c r="EKA28" s="49"/>
      <c r="EKB28" s="49"/>
      <c r="EKC28" s="808">
        <f t="shared" si="2656"/>
        <v>0</v>
      </c>
      <c r="EKD28" s="211">
        <f t="shared" si="2657"/>
        <v>0</v>
      </c>
      <c r="EKE28" s="195"/>
      <c r="EKF28" s="49"/>
      <c r="EKG28" s="49"/>
      <c r="EKH28" s="49"/>
      <c r="EKI28" s="49"/>
      <c r="EKJ28" s="49"/>
      <c r="EKK28" s="808">
        <f t="shared" si="2658"/>
        <v>0</v>
      </c>
      <c r="EKL28" s="211">
        <f t="shared" si="2659"/>
        <v>0</v>
      </c>
      <c r="EKM28" s="458"/>
      <c r="EKN28" s="83"/>
      <c r="EKO28" s="83"/>
      <c r="EKP28" s="83"/>
      <c r="EKQ28" s="83"/>
      <c r="EKR28" s="83"/>
      <c r="EKS28" s="808">
        <f t="shared" si="2660"/>
        <v>0</v>
      </c>
      <c r="EKT28" s="211">
        <f t="shared" si="2661"/>
        <v>0</v>
      </c>
      <c r="EKU28" s="195"/>
      <c r="EKV28" s="49"/>
      <c r="EKW28" s="49"/>
      <c r="EKX28" s="49"/>
      <c r="EKY28" s="49"/>
      <c r="EKZ28" s="49"/>
      <c r="ELA28" s="808">
        <f t="shared" si="2662"/>
        <v>0</v>
      </c>
      <c r="ELB28" s="211">
        <f t="shared" si="2663"/>
        <v>0</v>
      </c>
      <c r="ELC28" s="195"/>
      <c r="ELD28" s="49"/>
      <c r="ELE28" s="49"/>
      <c r="ELF28" s="49"/>
      <c r="ELG28" s="49"/>
      <c r="ELH28" s="49"/>
      <c r="ELI28" s="808">
        <f t="shared" si="2664"/>
        <v>0</v>
      </c>
      <c r="ELJ28" s="211">
        <f t="shared" si="2665"/>
        <v>0</v>
      </c>
      <c r="ELK28" s="195"/>
      <c r="ELL28" s="49"/>
      <c r="ELM28" s="49"/>
      <c r="ELN28" s="49"/>
      <c r="ELO28" s="49"/>
      <c r="ELP28" s="49"/>
      <c r="ELQ28" s="808">
        <f t="shared" si="2666"/>
        <v>0</v>
      </c>
      <c r="ELR28" s="211">
        <f t="shared" si="2667"/>
        <v>0</v>
      </c>
      <c r="ELS28" s="195"/>
      <c r="ELT28" s="49"/>
      <c r="ELU28" s="49"/>
      <c r="ELV28" s="49"/>
      <c r="ELW28" s="49"/>
      <c r="ELX28" s="49"/>
      <c r="ELY28" s="872">
        <f t="shared" si="2668"/>
        <v>0</v>
      </c>
      <c r="ELZ28" s="873">
        <f t="shared" si="2669"/>
        <v>0</v>
      </c>
      <c r="EMA28" s="195"/>
      <c r="EMB28" s="49"/>
      <c r="EMC28" s="49"/>
      <c r="EMD28" s="49"/>
      <c r="EME28" s="49"/>
      <c r="EMF28" s="49"/>
      <c r="EMG28" s="872">
        <f t="shared" si="2670"/>
        <v>0</v>
      </c>
      <c r="EMH28" s="873">
        <f t="shared" si="2671"/>
        <v>0</v>
      </c>
      <c r="EMI28" s="195"/>
      <c r="EMJ28" s="49"/>
      <c r="EMK28" s="49"/>
      <c r="EML28" s="49"/>
      <c r="EMM28" s="49"/>
      <c r="EMN28" s="49"/>
      <c r="EMO28" s="872">
        <f t="shared" si="2672"/>
        <v>0</v>
      </c>
      <c r="EMP28" s="873">
        <f t="shared" si="2673"/>
        <v>0</v>
      </c>
      <c r="EMQ28" s="195"/>
      <c r="EMR28" s="49"/>
      <c r="EMS28" s="49"/>
      <c r="EMT28" s="49"/>
      <c r="EMU28" s="49"/>
      <c r="EMV28" s="49"/>
      <c r="EMW28" s="872">
        <f t="shared" si="2674"/>
        <v>0</v>
      </c>
      <c r="EMX28" s="873">
        <f t="shared" si="2675"/>
        <v>0</v>
      </c>
      <c r="EMY28" s="195"/>
      <c r="EMZ28" s="49"/>
      <c r="ENA28" s="49"/>
      <c r="ENB28" s="49"/>
      <c r="ENC28" s="49"/>
      <c r="END28" s="49"/>
      <c r="ENE28" s="872">
        <f t="shared" si="2676"/>
        <v>0</v>
      </c>
      <c r="ENF28" s="873">
        <f t="shared" si="2677"/>
        <v>0</v>
      </c>
    </row>
    <row r="29" spans="1:3750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5"/>
        <v>0</v>
      </c>
      <c r="L29" s="24">
        <f t="shared" si="1618"/>
        <v>55</v>
      </c>
      <c r="M29" s="15">
        <f t="shared" si="1816"/>
        <v>55</v>
      </c>
      <c r="N29" s="15">
        <v>5</v>
      </c>
      <c r="O29" s="276">
        <f t="shared" si="1619"/>
        <v>11</v>
      </c>
      <c r="P29" s="277">
        <v>0</v>
      </c>
      <c r="Q29" s="276">
        <f t="shared" si="1817"/>
        <v>0</v>
      </c>
      <c r="R29" s="277">
        <f t="shared" si="1818"/>
        <v>4.615384615384615</v>
      </c>
      <c r="S29" s="222">
        <v>120</v>
      </c>
      <c r="T29" s="276">
        <f t="shared" si="1819"/>
        <v>11.916666666666668</v>
      </c>
      <c r="U29" s="278"/>
      <c r="V29" s="276">
        <f t="shared" si="1820"/>
        <v>11.916666666666668</v>
      </c>
      <c r="W29" s="279">
        <f t="shared" si="1821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22"/>
        <v>0</v>
      </c>
      <c r="AM29" s="53">
        <f t="shared" si="1823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4"/>
        <v>664</v>
      </c>
      <c r="AU29" s="53">
        <f t="shared" si="1825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6"/>
        <v>128</v>
      </c>
      <c r="BC29" s="53">
        <f t="shared" si="1827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8"/>
        <v>215</v>
      </c>
      <c r="BK29" s="53">
        <f t="shared" si="1829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30"/>
        <v>400</v>
      </c>
      <c r="BS29" s="53">
        <f t="shared" si="1831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32"/>
        <v>400</v>
      </c>
      <c r="CA29" s="53">
        <f t="shared" si="1833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4"/>
        <v>200</v>
      </c>
      <c r="CI29" s="53">
        <f t="shared" si="1835"/>
        <v>33.333333333333336</v>
      </c>
      <c r="CJ29" s="50"/>
      <c r="CK29" s="51"/>
      <c r="CL29" s="51"/>
      <c r="CM29" s="51"/>
      <c r="CN29" s="51"/>
      <c r="CO29" s="51"/>
      <c r="CP29" s="52">
        <f t="shared" si="1836"/>
        <v>0</v>
      </c>
      <c r="CQ29" s="53">
        <f t="shared" si="1837"/>
        <v>0</v>
      </c>
      <c r="CR29" s="50"/>
      <c r="CS29" s="51"/>
      <c r="CT29" s="51">
        <v>300</v>
      </c>
      <c r="CU29" s="51"/>
      <c r="CV29" s="51"/>
      <c r="CW29" s="51"/>
      <c r="CX29" s="52">
        <f t="shared" si="1838"/>
        <v>300</v>
      </c>
      <c r="CY29" s="53">
        <f t="shared" si="1839"/>
        <v>50</v>
      </c>
      <c r="CZ29" s="50"/>
      <c r="DA29" s="51"/>
      <c r="DB29" s="51">
        <v>200</v>
      </c>
      <c r="DC29" s="51"/>
      <c r="DD29" s="51"/>
      <c r="DE29" s="51"/>
      <c r="DF29" s="52">
        <f t="shared" si="1840"/>
        <v>200</v>
      </c>
      <c r="DG29" s="53">
        <f t="shared" si="1841"/>
        <v>33.333333333333336</v>
      </c>
      <c r="DH29" s="50"/>
      <c r="DI29" s="51"/>
      <c r="DJ29" s="51"/>
      <c r="DK29" s="51"/>
      <c r="DL29" s="51"/>
      <c r="DM29" s="51"/>
      <c r="DN29" s="52">
        <f t="shared" si="1842"/>
        <v>0</v>
      </c>
      <c r="DO29" s="53">
        <f t="shared" si="1843"/>
        <v>0</v>
      </c>
      <c r="DP29" s="50"/>
      <c r="DQ29" s="51">
        <v>199</v>
      </c>
      <c r="DR29" s="51"/>
      <c r="DS29" s="51"/>
      <c r="DT29" s="51"/>
      <c r="DU29" s="51"/>
      <c r="DV29" s="52">
        <f t="shared" si="1844"/>
        <v>199</v>
      </c>
      <c r="DW29" s="53">
        <f t="shared" si="1845"/>
        <v>33.166666666666664</v>
      </c>
      <c r="DX29" s="50"/>
      <c r="DY29" s="51"/>
      <c r="DZ29" s="51"/>
      <c r="EA29" s="51"/>
      <c r="EB29" s="51"/>
      <c r="EC29" s="51"/>
      <c r="ED29" s="52">
        <f t="shared" si="1846"/>
        <v>0</v>
      </c>
      <c r="EE29" s="53">
        <f t="shared" si="1847"/>
        <v>0</v>
      </c>
      <c r="EF29" s="50">
        <v>399</v>
      </c>
      <c r="EG29" s="51"/>
      <c r="EH29" s="51"/>
      <c r="EI29" s="51"/>
      <c r="EJ29" s="51"/>
      <c r="EK29" s="51"/>
      <c r="EL29" s="52">
        <f t="shared" si="1848"/>
        <v>399</v>
      </c>
      <c r="EM29" s="53">
        <f t="shared" si="1849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50"/>
        <v>400</v>
      </c>
      <c r="EU29" s="53">
        <f t="shared" si="1851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52"/>
        <v>195</v>
      </c>
      <c r="FC29" s="53">
        <f t="shared" si="1853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4"/>
        <v>408</v>
      </c>
      <c r="FK29" s="53">
        <f t="shared" si="1855"/>
        <v>68</v>
      </c>
      <c r="FL29" s="50"/>
      <c r="FM29" s="51"/>
      <c r="FN29" s="51"/>
      <c r="FO29" s="51"/>
      <c r="FP29" s="51"/>
      <c r="FQ29" s="51"/>
      <c r="FR29" s="52">
        <f t="shared" si="1856"/>
        <v>0</v>
      </c>
      <c r="FS29" s="53">
        <f t="shared" si="1857"/>
        <v>0</v>
      </c>
      <c r="FT29" s="50"/>
      <c r="FU29" s="51"/>
      <c r="FV29" s="51">
        <v>400</v>
      </c>
      <c r="FW29" s="51"/>
      <c r="FX29" s="51"/>
      <c r="FY29" s="51"/>
      <c r="FZ29" s="42">
        <f t="shared" si="1858"/>
        <v>400</v>
      </c>
      <c r="GA29" s="43">
        <f t="shared" si="1859"/>
        <v>66.666666666666671</v>
      </c>
      <c r="GB29" s="50"/>
      <c r="GC29" s="51"/>
      <c r="GD29" s="51"/>
      <c r="GE29" s="51"/>
      <c r="GF29" s="51"/>
      <c r="GG29" s="51"/>
      <c r="GH29" s="52">
        <f t="shared" si="1860"/>
        <v>0</v>
      </c>
      <c r="GI29" s="53">
        <f t="shared" si="1861"/>
        <v>0</v>
      </c>
      <c r="GJ29" s="50">
        <v>436</v>
      </c>
      <c r="GK29" s="51"/>
      <c r="GL29" s="51"/>
      <c r="GM29" s="51"/>
      <c r="GN29" s="51"/>
      <c r="GO29" s="51"/>
      <c r="GP29" s="52">
        <f t="shared" si="1862"/>
        <v>436</v>
      </c>
      <c r="GQ29" s="53">
        <f t="shared" si="1863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4"/>
        <v>200</v>
      </c>
      <c r="GY29" s="53">
        <f t="shared" si="1865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6"/>
        <v>200</v>
      </c>
      <c r="HG29" s="53">
        <f t="shared" si="1867"/>
        <v>33.333333333333336</v>
      </c>
      <c r="HH29" s="50"/>
      <c r="HI29" s="51"/>
      <c r="HJ29" s="51"/>
      <c r="HK29" s="51"/>
      <c r="HL29" s="51"/>
      <c r="HM29" s="51"/>
      <c r="HN29" s="52">
        <f t="shared" si="1868"/>
        <v>0</v>
      </c>
      <c r="HO29" s="53">
        <f t="shared" si="1869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70"/>
        <v>423</v>
      </c>
      <c r="HW29" s="53">
        <f t="shared" si="1871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72"/>
        <v>100</v>
      </c>
      <c r="IE29" s="53">
        <f t="shared" si="1873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4"/>
        <v>395</v>
      </c>
      <c r="IM29" s="53">
        <f t="shared" si="1875"/>
        <v>65.833333333333329</v>
      </c>
      <c r="IN29" s="84"/>
      <c r="IO29" s="85"/>
      <c r="IP29" s="85"/>
      <c r="IQ29" s="85"/>
      <c r="IR29" s="85"/>
      <c r="IS29" s="85"/>
      <c r="IT29" s="52">
        <f t="shared" si="1876"/>
        <v>0</v>
      </c>
      <c r="IU29" s="53">
        <f t="shared" si="1877"/>
        <v>0</v>
      </c>
      <c r="IV29" s="50"/>
      <c r="IW29" s="51"/>
      <c r="IX29" s="51"/>
      <c r="IY29" s="51">
        <v>398</v>
      </c>
      <c r="IZ29" s="51"/>
      <c r="JA29" s="51"/>
      <c r="JB29" s="52">
        <f t="shared" si="1878"/>
        <v>398</v>
      </c>
      <c r="JC29" s="53">
        <f t="shared" si="1879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80"/>
        <v>299</v>
      </c>
      <c r="JK29" s="53">
        <f t="shared" si="1881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82"/>
        <v>99</v>
      </c>
      <c r="JS29" s="53">
        <f t="shared" si="1883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4"/>
        <v>300</v>
      </c>
      <c r="KA29" s="53">
        <f t="shared" si="1885"/>
        <v>50</v>
      </c>
      <c r="KB29" s="50"/>
      <c r="KC29" s="51"/>
      <c r="KD29" s="51"/>
      <c r="KE29" s="51"/>
      <c r="KF29" s="51"/>
      <c r="KG29" s="51">
        <v>400</v>
      </c>
      <c r="KH29" s="52">
        <f t="shared" si="1886"/>
        <v>400</v>
      </c>
      <c r="KI29" s="53">
        <f t="shared" si="1887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8"/>
        <v>100</v>
      </c>
      <c r="KQ29" s="53">
        <f t="shared" si="1889"/>
        <v>16.666666666666668</v>
      </c>
      <c r="KR29" s="50"/>
      <c r="KS29" s="51"/>
      <c r="KT29" s="51"/>
      <c r="KU29" s="51"/>
      <c r="KV29" s="51"/>
      <c r="KW29" s="51"/>
      <c r="KX29" s="52">
        <f t="shared" si="1890"/>
        <v>0</v>
      </c>
      <c r="KY29" s="53">
        <f t="shared" si="1891"/>
        <v>0</v>
      </c>
      <c r="KZ29" s="50"/>
      <c r="LA29" s="51"/>
      <c r="LB29" s="51"/>
      <c r="LC29" s="51"/>
      <c r="LD29" s="51"/>
      <c r="LE29" s="51"/>
      <c r="LF29" s="52">
        <f t="shared" si="1892"/>
        <v>0</v>
      </c>
      <c r="LG29" s="53">
        <f t="shared" si="1893"/>
        <v>0</v>
      </c>
      <c r="LH29" s="50"/>
      <c r="LI29" s="51">
        <v>200</v>
      </c>
      <c r="LJ29" s="51"/>
      <c r="LK29" s="51"/>
      <c r="LL29" s="51"/>
      <c r="LM29" s="51"/>
      <c r="LN29" s="69">
        <f t="shared" si="1894"/>
        <v>200</v>
      </c>
      <c r="LO29" s="70">
        <f t="shared" si="1895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6"/>
        <v>440</v>
      </c>
      <c r="LW29" s="70">
        <f t="shared" si="1897"/>
        <v>73.333333333333329</v>
      </c>
      <c r="LX29" s="50"/>
      <c r="LY29" s="51"/>
      <c r="LZ29" s="51"/>
      <c r="MA29" s="51"/>
      <c r="MB29" s="51"/>
      <c r="MC29" s="51"/>
      <c r="MD29" s="69">
        <f t="shared" si="1898"/>
        <v>0</v>
      </c>
      <c r="ME29" s="70">
        <f t="shared" si="1899"/>
        <v>0</v>
      </c>
      <c r="MF29" s="50"/>
      <c r="MG29" s="51"/>
      <c r="MH29" s="51"/>
      <c r="MI29" s="51"/>
      <c r="MJ29" s="51"/>
      <c r="MK29" s="51">
        <v>223</v>
      </c>
      <c r="ML29" s="52">
        <f t="shared" si="1900"/>
        <v>223</v>
      </c>
      <c r="MM29" s="53">
        <f t="shared" si="1901"/>
        <v>37.166666666666664</v>
      </c>
      <c r="MN29" s="50"/>
      <c r="MO29" s="51"/>
      <c r="MP29" s="51"/>
      <c r="MQ29" s="51"/>
      <c r="MR29" s="51"/>
      <c r="MS29" s="51"/>
      <c r="MT29" s="52">
        <f t="shared" si="1902"/>
        <v>0</v>
      </c>
      <c r="MU29" s="53">
        <f t="shared" si="1903"/>
        <v>0</v>
      </c>
      <c r="MV29" s="50"/>
      <c r="MW29" s="51">
        <v>214</v>
      </c>
      <c r="MX29" s="51"/>
      <c r="MY29" s="51"/>
      <c r="MZ29" s="51"/>
      <c r="NA29" s="51"/>
      <c r="NB29" s="52">
        <f t="shared" si="1904"/>
        <v>214</v>
      </c>
      <c r="NC29" s="53">
        <f t="shared" si="1905"/>
        <v>35.666666666666664</v>
      </c>
      <c r="ND29" s="50"/>
      <c r="NE29" s="51"/>
      <c r="NF29" s="51"/>
      <c r="NG29" s="51"/>
      <c r="NH29" s="51"/>
      <c r="NI29" s="51"/>
      <c r="NJ29" s="52">
        <f t="shared" si="1906"/>
        <v>0</v>
      </c>
      <c r="NK29" s="53">
        <f t="shared" si="1907"/>
        <v>0</v>
      </c>
      <c r="NL29" s="50"/>
      <c r="NM29" s="51"/>
      <c r="NN29" s="51"/>
      <c r="NO29" s="51"/>
      <c r="NP29" s="51"/>
      <c r="NQ29" s="51"/>
      <c r="NR29" s="52">
        <f t="shared" si="1908"/>
        <v>0</v>
      </c>
      <c r="NS29" s="53">
        <f t="shared" si="1909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10"/>
        <v>716</v>
      </c>
      <c r="OA29" s="53">
        <f t="shared" si="1911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12"/>
        <v>199</v>
      </c>
      <c r="OI29" s="53">
        <f t="shared" si="1913"/>
        <v>33.166666666666664</v>
      </c>
      <c r="OJ29" s="50"/>
      <c r="OK29" s="51"/>
      <c r="OL29" s="51"/>
      <c r="OM29" s="51"/>
      <c r="ON29" s="51"/>
      <c r="OO29" s="51"/>
      <c r="OP29" s="52">
        <f t="shared" si="1914"/>
        <v>0</v>
      </c>
      <c r="OQ29" s="53">
        <f t="shared" si="1915"/>
        <v>0</v>
      </c>
      <c r="OR29" s="50"/>
      <c r="OS29" s="51"/>
      <c r="OT29" s="51"/>
      <c r="OU29" s="51"/>
      <c r="OV29" s="51"/>
      <c r="OW29" s="51"/>
      <c r="OX29" s="69">
        <f t="shared" si="1916"/>
        <v>0</v>
      </c>
      <c r="OY29" s="70">
        <f t="shared" si="1917"/>
        <v>0</v>
      </c>
      <c r="OZ29" s="50"/>
      <c r="PA29" s="51"/>
      <c r="PB29" s="51"/>
      <c r="PC29" s="51"/>
      <c r="PD29" s="51"/>
      <c r="PE29" s="51"/>
      <c r="PF29" s="69">
        <f t="shared" si="1918"/>
        <v>0</v>
      </c>
      <c r="PG29" s="70">
        <f t="shared" si="1919"/>
        <v>0</v>
      </c>
      <c r="PH29" s="50"/>
      <c r="PI29" s="51">
        <v>228</v>
      </c>
      <c r="PJ29" s="51"/>
      <c r="PK29" s="51"/>
      <c r="PL29" s="51"/>
      <c r="PM29" s="51"/>
      <c r="PN29" s="104">
        <f t="shared" si="1920"/>
        <v>228</v>
      </c>
      <c r="PO29" s="105">
        <f t="shared" si="1921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22"/>
        <v>200</v>
      </c>
      <c r="PW29" s="111">
        <f t="shared" si="1923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4"/>
        <v>103</v>
      </c>
      <c r="QE29" s="111">
        <f t="shared" si="1925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6"/>
        <v>200</v>
      </c>
      <c r="QM29" s="111">
        <f t="shared" si="1927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8"/>
        <v>202</v>
      </c>
      <c r="QU29" s="111">
        <f t="shared" si="1929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30"/>
        <v>198</v>
      </c>
      <c r="RC29" s="111">
        <f t="shared" si="1931"/>
        <v>33</v>
      </c>
      <c r="RD29" s="108"/>
      <c r="RE29" s="109"/>
      <c r="RF29" s="109"/>
      <c r="RG29" s="109"/>
      <c r="RH29" s="109"/>
      <c r="RI29" s="109"/>
      <c r="RJ29" s="110">
        <f t="shared" si="1932"/>
        <v>0</v>
      </c>
      <c r="RK29" s="111">
        <f t="shared" si="1933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4"/>
        <v>114</v>
      </c>
      <c r="RS29" s="111">
        <f t="shared" si="1935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6"/>
        <v>195</v>
      </c>
      <c r="SA29" s="111">
        <f t="shared" si="1937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8"/>
        <v>100</v>
      </c>
      <c r="SI29" s="111">
        <f t="shared" si="1939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40"/>
        <v>200</v>
      </c>
      <c r="SQ29" s="111">
        <f t="shared" si="1941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42"/>
        <v>200</v>
      </c>
      <c r="SY29" s="111">
        <f t="shared" si="1943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4"/>
        <v>181</v>
      </c>
      <c r="TG29" s="111">
        <f t="shared" si="1945"/>
        <v>30.166666666666668</v>
      </c>
      <c r="TH29" s="108"/>
      <c r="TI29" s="109"/>
      <c r="TJ29" s="109"/>
      <c r="TK29" s="109"/>
      <c r="TL29" s="109"/>
      <c r="TM29" s="109"/>
      <c r="TN29" s="110">
        <f t="shared" si="1946"/>
        <v>0</v>
      </c>
      <c r="TO29" s="111">
        <f t="shared" si="1947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8"/>
        <v>0</v>
      </c>
      <c r="TX29" s="111">
        <f t="shared" si="1949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50"/>
        <v>200</v>
      </c>
      <c r="UF29" s="111">
        <f t="shared" si="1951"/>
        <v>33.333333333333336</v>
      </c>
      <c r="UG29" s="108"/>
      <c r="UH29" s="109"/>
      <c r="UI29" s="109"/>
      <c r="UJ29" s="109"/>
      <c r="UK29" s="109"/>
      <c r="UL29" s="109"/>
      <c r="UM29" s="110">
        <f t="shared" si="1952"/>
        <v>0</v>
      </c>
      <c r="UN29" s="111">
        <f t="shared" si="1953"/>
        <v>0</v>
      </c>
      <c r="UO29" s="50"/>
      <c r="UP29" s="51"/>
      <c r="UQ29" s="51"/>
      <c r="UR29" s="51">
        <v>200</v>
      </c>
      <c r="US29" s="51"/>
      <c r="UT29" s="51"/>
      <c r="UU29" s="69">
        <f t="shared" si="1954"/>
        <v>200</v>
      </c>
      <c r="UV29" s="70">
        <f t="shared" si="1955"/>
        <v>33.333333333333336</v>
      </c>
      <c r="UW29" s="108"/>
      <c r="UX29" s="109"/>
      <c r="UY29" s="109"/>
      <c r="UZ29" s="109"/>
      <c r="VA29" s="109"/>
      <c r="VB29" s="109"/>
      <c r="VC29" s="110">
        <f t="shared" si="1956"/>
        <v>0</v>
      </c>
      <c r="VD29" s="111">
        <f t="shared" si="1957"/>
        <v>0</v>
      </c>
      <c r="VE29" s="65">
        <v>266</v>
      </c>
      <c r="VF29" s="66"/>
      <c r="VG29" s="66"/>
      <c r="VH29" s="66"/>
      <c r="VI29" s="66"/>
      <c r="VJ29" s="66"/>
      <c r="VK29" s="69">
        <f t="shared" si="1958"/>
        <v>266</v>
      </c>
      <c r="VL29" s="70">
        <f t="shared" si="1959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60"/>
        <v>0</v>
      </c>
      <c r="VU29" s="111">
        <f t="shared" si="1961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62"/>
        <v>246</v>
      </c>
      <c r="WD29" s="70">
        <f t="shared" si="1963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4"/>
        <v>199</v>
      </c>
      <c r="WM29" s="70">
        <f t="shared" si="1965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6"/>
        <v>196</v>
      </c>
      <c r="WV29" s="70">
        <f t="shared" si="1967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8"/>
        <v>200</v>
      </c>
      <c r="XE29" s="70">
        <f t="shared" si="1969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70"/>
        <v>97</v>
      </c>
      <c r="XM29" s="70">
        <f t="shared" si="1971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72"/>
        <v>100</v>
      </c>
      <c r="XU29" s="70">
        <f t="shared" si="1973"/>
        <v>16.666666666666668</v>
      </c>
      <c r="XV29" s="50"/>
      <c r="XW29" s="51"/>
      <c r="XX29" s="51"/>
      <c r="XY29" s="51"/>
      <c r="XZ29" s="51"/>
      <c r="YA29" s="51"/>
      <c r="YB29" s="69">
        <f t="shared" si="1974"/>
        <v>0</v>
      </c>
      <c r="YC29" s="70">
        <f t="shared" si="1975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6"/>
        <v>100</v>
      </c>
      <c r="YL29" s="70">
        <f t="shared" si="1977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8"/>
        <v>200</v>
      </c>
      <c r="YU29" s="70">
        <f t="shared" si="1979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80"/>
        <v>100</v>
      </c>
      <c r="ZC29" s="70">
        <f t="shared" si="1981"/>
        <v>16.666666666666668</v>
      </c>
      <c r="ZD29" s="50"/>
      <c r="ZE29" s="51"/>
      <c r="ZF29" s="51"/>
      <c r="ZG29" s="51"/>
      <c r="ZH29" s="51"/>
      <c r="ZI29" s="51"/>
      <c r="ZJ29" s="69">
        <f t="shared" si="1982"/>
        <v>0</v>
      </c>
      <c r="ZK29" s="70">
        <f t="shared" si="1983"/>
        <v>0</v>
      </c>
      <c r="ZL29" s="50"/>
      <c r="ZM29" s="51"/>
      <c r="ZN29" s="51"/>
      <c r="ZO29" s="51"/>
      <c r="ZP29" s="51">
        <v>228</v>
      </c>
      <c r="ZQ29" s="51"/>
      <c r="ZR29" s="69">
        <f t="shared" si="1984"/>
        <v>228</v>
      </c>
      <c r="ZS29" s="70">
        <f t="shared" si="1985"/>
        <v>38</v>
      </c>
      <c r="ZT29" s="50"/>
      <c r="ZU29" s="51"/>
      <c r="ZV29" s="51"/>
      <c r="ZW29" s="51"/>
      <c r="ZX29" s="51"/>
      <c r="ZY29" s="51"/>
      <c r="ZZ29" s="69">
        <f t="shared" si="1986"/>
        <v>0</v>
      </c>
      <c r="AAA29" s="70">
        <f t="shared" si="1987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8"/>
        <v>295</v>
      </c>
      <c r="AAI29" s="70">
        <f t="shared" si="1989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90"/>
        <v>204</v>
      </c>
      <c r="AAQ29" s="70">
        <f t="shared" si="1991"/>
        <v>34</v>
      </c>
      <c r="AAR29" s="50"/>
      <c r="AAS29" s="51"/>
      <c r="AAT29" s="51"/>
      <c r="AAU29" s="51"/>
      <c r="AAV29" s="51"/>
      <c r="AAW29" s="51"/>
      <c r="AAX29" s="69">
        <f t="shared" si="1992"/>
        <v>0</v>
      </c>
      <c r="AAY29" s="70">
        <f t="shared" si="1993"/>
        <v>0</v>
      </c>
      <c r="AAZ29" s="50"/>
      <c r="ABA29" s="51"/>
      <c r="ABB29" s="51"/>
      <c r="ABC29" s="51"/>
      <c r="ABD29" s="51"/>
      <c r="ABE29" s="51"/>
      <c r="ABF29" s="69">
        <f t="shared" si="1994"/>
        <v>0</v>
      </c>
      <c r="ABG29" s="70">
        <f t="shared" si="1995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6"/>
        <v>220</v>
      </c>
      <c r="ABO29" s="70">
        <f t="shared" si="1997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8"/>
        <v>78</v>
      </c>
      <c r="ABW29" s="70">
        <f t="shared" si="1999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2000"/>
        <v>220</v>
      </c>
      <c r="ACE29" s="70">
        <f t="shared" si="1641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2001"/>
        <v>220</v>
      </c>
      <c r="ACM29" s="70">
        <f t="shared" si="2002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2003"/>
        <v>104</v>
      </c>
      <c r="ACU29" s="70">
        <f t="shared" si="2004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5"/>
        <v>110</v>
      </c>
      <c r="ADC29" s="70">
        <f t="shared" si="2006"/>
        <v>18.333333333333332</v>
      </c>
      <c r="ADD29" s="50"/>
      <c r="ADE29" s="51"/>
      <c r="ADF29" s="51"/>
      <c r="ADG29" s="51"/>
      <c r="ADH29" s="51"/>
      <c r="ADI29" s="51"/>
      <c r="ADJ29" s="69">
        <f t="shared" si="2007"/>
        <v>0</v>
      </c>
      <c r="ADK29" s="70">
        <f t="shared" si="2008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9"/>
        <v>220</v>
      </c>
      <c r="ADS29" s="70">
        <f t="shared" si="2010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11"/>
        <v>110</v>
      </c>
      <c r="AEA29" s="70">
        <f t="shared" si="2012"/>
        <v>18.333333333333332</v>
      </c>
      <c r="AEB29" s="50"/>
      <c r="AEC29" s="51"/>
      <c r="AED29" s="51"/>
      <c r="AEE29" s="51"/>
      <c r="AEF29" s="51"/>
      <c r="AEG29" s="51"/>
      <c r="AEH29" s="69">
        <f t="shared" si="2013"/>
        <v>0</v>
      </c>
      <c r="AEI29" s="70">
        <f t="shared" si="2014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5"/>
        <v>110</v>
      </c>
      <c r="AEQ29" s="70">
        <f t="shared" si="2016"/>
        <v>18.333333333333332</v>
      </c>
      <c r="AER29" s="50"/>
      <c r="AES29" s="51"/>
      <c r="AET29" s="51"/>
      <c r="AEU29" s="51"/>
      <c r="AEV29" s="51"/>
      <c r="AEW29" s="51"/>
      <c r="AEX29" s="67">
        <f t="shared" si="2017"/>
        <v>0</v>
      </c>
      <c r="AEY29" s="68">
        <f t="shared" si="2018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9"/>
        <v>110</v>
      </c>
      <c r="AFG29" s="70">
        <f t="shared" si="2020"/>
        <v>11</v>
      </c>
      <c r="AFH29" s="50"/>
      <c r="AFI29" s="51"/>
      <c r="AFJ29" s="51"/>
      <c r="AFK29" s="51"/>
      <c r="AFL29" s="51"/>
      <c r="AFM29" s="51"/>
      <c r="AFN29" s="69">
        <f t="shared" si="2021"/>
        <v>0</v>
      </c>
      <c r="AFO29" s="70">
        <f t="shared" si="2022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23"/>
        <v>110</v>
      </c>
      <c r="AFW29" s="70">
        <f t="shared" si="2024"/>
        <v>11</v>
      </c>
      <c r="AFX29" s="50"/>
      <c r="AFY29" s="51"/>
      <c r="AFZ29" s="51"/>
      <c r="AGA29" s="51"/>
      <c r="AGB29" s="51"/>
      <c r="AGC29" s="51"/>
      <c r="AGD29" s="69">
        <f t="shared" si="2025"/>
        <v>0</v>
      </c>
      <c r="AGE29" s="70">
        <f t="shared" si="2026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7"/>
        <v>110</v>
      </c>
      <c r="AGM29" s="70">
        <f t="shared" si="2028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9"/>
        <v>110</v>
      </c>
      <c r="AGU29" s="53">
        <f t="shared" si="2030"/>
        <v>11</v>
      </c>
      <c r="AGV29" s="50"/>
      <c r="AGW29" s="51"/>
      <c r="AGX29" s="51"/>
      <c r="AGY29" s="51"/>
      <c r="AGZ29" s="51"/>
      <c r="AHA29" s="51"/>
      <c r="AHB29" s="52">
        <f t="shared" si="2031"/>
        <v>0</v>
      </c>
      <c r="AHC29" s="53">
        <f t="shared" si="2032"/>
        <v>0</v>
      </c>
      <c r="AHD29" s="50"/>
      <c r="AHE29" s="51"/>
      <c r="AHF29" s="51"/>
      <c r="AHG29" s="51"/>
      <c r="AHH29" s="51"/>
      <c r="AHI29" s="51"/>
      <c r="AHJ29" s="52">
        <f t="shared" si="2033"/>
        <v>0</v>
      </c>
      <c r="AHK29" s="53">
        <f t="shared" si="2034"/>
        <v>0</v>
      </c>
      <c r="AHL29" s="50"/>
      <c r="AHM29" s="51"/>
      <c r="AHN29" s="51"/>
      <c r="AHO29" s="51"/>
      <c r="AHP29" s="51"/>
      <c r="AHQ29" s="51"/>
      <c r="AHR29" s="69">
        <f t="shared" si="2035"/>
        <v>0</v>
      </c>
      <c r="AHS29" s="70">
        <f t="shared" si="2036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7"/>
        <v>117</v>
      </c>
      <c r="AIA29" s="70">
        <f t="shared" si="2038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9"/>
        <v>113</v>
      </c>
      <c r="AII29" s="70">
        <f t="shared" si="2040"/>
        <v>18.833333333333332</v>
      </c>
      <c r="AIJ29" s="50"/>
      <c r="AIK29" s="51"/>
      <c r="AIL29" s="51"/>
      <c r="AIM29" s="51"/>
      <c r="AIN29" s="51"/>
      <c r="AIO29" s="51"/>
      <c r="AIP29" s="69">
        <f t="shared" si="2041"/>
        <v>0</v>
      </c>
      <c r="AIQ29" s="70">
        <f t="shared" si="2042"/>
        <v>0</v>
      </c>
      <c r="AIR29" s="50"/>
      <c r="AIS29" s="51"/>
      <c r="AIT29" s="51"/>
      <c r="AIU29" s="51"/>
      <c r="AIV29" s="51"/>
      <c r="AIW29" s="51"/>
      <c r="AIX29" s="69">
        <f t="shared" si="2043"/>
        <v>0</v>
      </c>
      <c r="AIY29" s="70">
        <f t="shared" si="2044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5"/>
        <v>110</v>
      </c>
      <c r="AJG29" s="70">
        <f t="shared" si="2046"/>
        <v>18.333333333333332</v>
      </c>
      <c r="AJH29" s="50"/>
      <c r="AJI29" s="51"/>
      <c r="AJJ29" s="51"/>
      <c r="AJK29" s="51"/>
      <c r="AJL29" s="51"/>
      <c r="AJM29" s="51"/>
      <c r="AJN29" s="47">
        <f t="shared" si="2047"/>
        <v>0</v>
      </c>
      <c r="AJO29" s="43">
        <f t="shared" si="2048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9"/>
        <v>100</v>
      </c>
      <c r="AJW29" s="53">
        <f t="shared" si="2050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51"/>
        <v>109</v>
      </c>
      <c r="AKE29" s="53">
        <f t="shared" si="2052"/>
        <v>18.166666666666668</v>
      </c>
      <c r="AKF29" s="50"/>
      <c r="AKG29" s="51"/>
      <c r="AKH29" s="51"/>
      <c r="AKI29" s="51"/>
      <c r="AKJ29" s="51"/>
      <c r="AKK29" s="51"/>
      <c r="AKL29" s="47">
        <f t="shared" si="2053"/>
        <v>0</v>
      </c>
      <c r="AKM29" s="43">
        <f t="shared" si="2054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5"/>
        <v>110</v>
      </c>
      <c r="AKU29" s="53">
        <f t="shared" si="2056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7"/>
        <v>110</v>
      </c>
      <c r="ALC29" s="53">
        <f t="shared" si="2058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9"/>
        <v>110</v>
      </c>
      <c r="ALK29" s="53">
        <f t="shared" si="2060"/>
        <v>18.333333333333332</v>
      </c>
      <c r="ALL29" s="50"/>
      <c r="ALM29" s="51"/>
      <c r="ALN29" s="51"/>
      <c r="ALO29" s="51"/>
      <c r="ALP29" s="51"/>
      <c r="ALQ29" s="51"/>
      <c r="ALR29" s="69">
        <f t="shared" si="2061"/>
        <v>0</v>
      </c>
      <c r="ALS29" s="70">
        <f t="shared" si="2062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63"/>
        <v>220</v>
      </c>
      <c r="AMA29" s="70">
        <f t="shared" si="2064"/>
        <v>36.666666666666664</v>
      </c>
      <c r="AMB29" s="50"/>
      <c r="AMC29" s="51"/>
      <c r="AMD29" s="51"/>
      <c r="AME29" s="51"/>
      <c r="AMF29" s="51"/>
      <c r="AMG29" s="51"/>
      <c r="AMH29" s="69">
        <f t="shared" si="2065"/>
        <v>0</v>
      </c>
      <c r="AMI29" s="70">
        <f t="shared" si="2066"/>
        <v>0</v>
      </c>
      <c r="AMJ29" s="50"/>
      <c r="AMK29" s="51"/>
      <c r="AML29" s="51"/>
      <c r="AMM29" s="51"/>
      <c r="AMN29" s="51"/>
      <c r="AMO29" s="51"/>
      <c r="AMP29" s="69">
        <f t="shared" si="2067"/>
        <v>0</v>
      </c>
      <c r="AMQ29" s="70">
        <f t="shared" si="2068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9"/>
        <v>110</v>
      </c>
      <c r="AMY29" s="70">
        <f t="shared" si="2070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71"/>
        <v>110</v>
      </c>
      <c r="ANG29" s="70">
        <f t="shared" si="2072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73"/>
        <v>103</v>
      </c>
      <c r="ANO29" s="70">
        <f t="shared" si="2074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5"/>
        <v>99</v>
      </c>
      <c r="ANW29" s="70">
        <f t="shared" si="2076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7"/>
        <v>110</v>
      </c>
      <c r="AOE29" s="70">
        <f t="shared" si="2078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9"/>
        <v>110</v>
      </c>
      <c r="AOM29" s="70">
        <f t="shared" si="2080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81"/>
        <v>108</v>
      </c>
      <c r="AOU29" s="70">
        <f t="shared" si="2082"/>
        <v>18</v>
      </c>
      <c r="AOV29" s="50"/>
      <c r="AOW29" s="51"/>
      <c r="AOX29" s="51"/>
      <c r="AOY29" s="51"/>
      <c r="AOZ29" s="51"/>
      <c r="APA29" s="51"/>
      <c r="APB29" s="69">
        <f t="shared" si="2083"/>
        <v>0</v>
      </c>
      <c r="APC29" s="70">
        <f t="shared" si="2084"/>
        <v>0</v>
      </c>
      <c r="APD29" s="50"/>
      <c r="APE29" s="51"/>
      <c r="APF29" s="51"/>
      <c r="APG29" s="51"/>
      <c r="APH29" s="51"/>
      <c r="API29" s="51"/>
      <c r="APJ29" s="69">
        <f t="shared" si="2085"/>
        <v>0</v>
      </c>
      <c r="APK29" s="70">
        <f t="shared" si="2086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7"/>
        <v>110</v>
      </c>
      <c r="APS29" s="70">
        <f t="shared" si="2088"/>
        <v>18.333333333333332</v>
      </c>
      <c r="APT29" s="50"/>
      <c r="APU29" s="51"/>
      <c r="APV29" s="51"/>
      <c r="APW29" s="51"/>
      <c r="APX29" s="51"/>
      <c r="APY29" s="51"/>
      <c r="APZ29" s="69">
        <f t="shared" si="2089"/>
        <v>0</v>
      </c>
      <c r="AQA29" s="70">
        <f t="shared" si="2090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91"/>
        <v>110</v>
      </c>
      <c r="AQI29" s="70">
        <f t="shared" si="2092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93"/>
        <v>94</v>
      </c>
      <c r="AQQ29" s="53">
        <f t="shared" si="2094"/>
        <v>15.666666666666666</v>
      </c>
      <c r="AQR29" s="50"/>
      <c r="AQS29" s="51"/>
      <c r="AQT29" s="51"/>
      <c r="AQU29" s="51"/>
      <c r="AQV29" s="51"/>
      <c r="AQW29" s="51"/>
      <c r="AQX29" s="52">
        <f t="shared" si="2095"/>
        <v>0</v>
      </c>
      <c r="AQY29" s="53">
        <f t="shared" si="2096"/>
        <v>0</v>
      </c>
      <c r="AQZ29" s="50"/>
      <c r="ARA29" s="51"/>
      <c r="ARB29" s="51"/>
      <c r="ARC29" s="51"/>
      <c r="ARD29" s="51"/>
      <c r="ARE29" s="51"/>
      <c r="ARF29" s="52">
        <f t="shared" si="2097"/>
        <v>0</v>
      </c>
      <c r="ARG29" s="53">
        <f t="shared" si="2098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9"/>
        <v>99</v>
      </c>
      <c r="ARO29" s="53">
        <f t="shared" si="2100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101"/>
        <v>110</v>
      </c>
      <c r="ARW29" s="53">
        <f t="shared" si="2102"/>
        <v>18.333333333333332</v>
      </c>
      <c r="ARX29" s="50"/>
      <c r="ARY29" s="51"/>
      <c r="ARZ29" s="51"/>
      <c r="ASA29" s="51"/>
      <c r="ASB29" s="51"/>
      <c r="ASC29" s="51"/>
      <c r="ASD29" s="52">
        <f t="shared" si="2103"/>
        <v>0</v>
      </c>
      <c r="ASE29" s="53">
        <f t="shared" si="2104"/>
        <v>0</v>
      </c>
      <c r="ASF29" s="50"/>
      <c r="ASG29" s="51"/>
      <c r="ASH29" s="51"/>
      <c r="ASI29" s="51"/>
      <c r="ASJ29" s="51"/>
      <c r="ASK29" s="51"/>
      <c r="ASL29" s="52">
        <f t="shared" si="2105"/>
        <v>0</v>
      </c>
      <c r="ASM29" s="53">
        <f t="shared" si="2106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7"/>
        <v>109</v>
      </c>
      <c r="ASU29" s="53">
        <f t="shared" si="2108"/>
        <v>18.166666666666668</v>
      </c>
      <c r="ASV29" s="50"/>
      <c r="ASW29" s="51"/>
      <c r="ASX29" s="51"/>
      <c r="ASY29" s="51"/>
      <c r="ASZ29" s="51"/>
      <c r="ATA29" s="51"/>
      <c r="ATB29" s="52">
        <f t="shared" si="2109"/>
        <v>0</v>
      </c>
      <c r="ATC29" s="53">
        <f t="shared" si="2110"/>
        <v>0</v>
      </c>
      <c r="ATD29" s="50"/>
      <c r="ATE29" s="51"/>
      <c r="ATF29" s="51"/>
      <c r="ATG29" s="51"/>
      <c r="ATH29" s="51"/>
      <c r="ATI29" s="51"/>
      <c r="ATJ29" s="52">
        <f t="shared" si="2111"/>
        <v>0</v>
      </c>
      <c r="ATK29" s="53">
        <f t="shared" si="2112"/>
        <v>0</v>
      </c>
      <c r="ATL29" s="50"/>
      <c r="ATM29" s="51"/>
      <c r="ATN29" s="51"/>
      <c r="ATO29" s="51"/>
      <c r="ATP29" s="51"/>
      <c r="ATQ29" s="51"/>
      <c r="ATR29" s="52">
        <f t="shared" si="2113"/>
        <v>0</v>
      </c>
      <c r="ATS29" s="53">
        <f t="shared" si="2114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5"/>
        <v>110</v>
      </c>
      <c r="AUA29" s="53">
        <f t="shared" si="2116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7"/>
        <v>110</v>
      </c>
      <c r="AUI29" s="53">
        <f t="shared" si="2118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9"/>
        <v>110</v>
      </c>
      <c r="AUQ29" s="53">
        <f t="shared" si="2120"/>
        <v>18.333333333333332</v>
      </c>
      <c r="AUR29" s="50"/>
      <c r="AUS29" s="51"/>
      <c r="AUT29" s="51"/>
      <c r="AUU29" s="51"/>
      <c r="AUV29" s="51"/>
      <c r="AUW29" s="51"/>
      <c r="AUX29" s="52">
        <f t="shared" si="2121"/>
        <v>0</v>
      </c>
      <c r="AUY29" s="53">
        <f t="shared" si="2122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23"/>
        <v>130</v>
      </c>
      <c r="AVG29" s="53">
        <f t="shared" si="2124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5"/>
        <v>110</v>
      </c>
      <c r="AVO29" s="53">
        <f t="shared" si="2126"/>
        <v>18.333333333333332</v>
      </c>
      <c r="AVP29" s="50"/>
      <c r="AVQ29" s="51"/>
      <c r="AVR29" s="51"/>
      <c r="AVS29" s="51"/>
      <c r="AVT29" s="51"/>
      <c r="AVU29" s="51"/>
      <c r="AVV29" s="52">
        <f t="shared" si="2127"/>
        <v>0</v>
      </c>
      <c r="AVW29" s="53">
        <f t="shared" si="2128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9"/>
        <v>110</v>
      </c>
      <c r="AWE29" s="53">
        <f t="shared" si="2130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31"/>
        <v>110</v>
      </c>
      <c r="AWM29" s="53">
        <f t="shared" si="2132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33"/>
        <v>109</v>
      </c>
      <c r="AWU29" s="53">
        <f t="shared" si="2134"/>
        <v>18.166666666666668</v>
      </c>
      <c r="AWV29" s="50"/>
      <c r="AWW29" s="51"/>
      <c r="AWX29" s="51"/>
      <c r="AWY29" s="51"/>
      <c r="AWZ29" s="51"/>
      <c r="AXA29" s="51"/>
      <c r="AXB29" s="52">
        <f t="shared" si="2135"/>
        <v>0</v>
      </c>
      <c r="AXC29" s="53">
        <f t="shared" si="2136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7"/>
        <v>110</v>
      </c>
      <c r="AXK29" s="53">
        <f t="shared" si="2138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9"/>
        <v>110</v>
      </c>
      <c r="AXS29" s="53">
        <f t="shared" si="2140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41"/>
        <v>110</v>
      </c>
      <c r="AYA29" s="43">
        <f t="shared" si="2142"/>
        <v>18.333333333333332</v>
      </c>
      <c r="AYB29" s="50"/>
      <c r="AYC29" s="51"/>
      <c r="AYD29" s="51"/>
      <c r="AYE29" s="51"/>
      <c r="AYF29" s="51"/>
      <c r="AYG29" s="51"/>
      <c r="AYH29" s="52">
        <f t="shared" si="2143"/>
        <v>0</v>
      </c>
      <c r="AYI29" s="53">
        <f t="shared" si="2144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5"/>
        <v>96</v>
      </c>
      <c r="AYQ29" s="53">
        <f t="shared" si="2146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7"/>
        <v>100</v>
      </c>
      <c r="AYY29" s="53">
        <f t="shared" si="2148"/>
        <v>16.666666666666668</v>
      </c>
      <c r="AYZ29" s="50"/>
      <c r="AZA29" s="51"/>
      <c r="AZB29" s="51"/>
      <c r="AZC29" s="51"/>
      <c r="AZD29" s="51"/>
      <c r="AZE29" s="51"/>
      <c r="AZF29" s="52">
        <f t="shared" si="2149"/>
        <v>0</v>
      </c>
      <c r="AZG29" s="53">
        <f t="shared" si="2150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51"/>
        <v>109</v>
      </c>
      <c r="AZO29" s="53">
        <f t="shared" si="2152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53"/>
        <v>110</v>
      </c>
      <c r="AZW29" s="53">
        <f t="shared" si="2154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5"/>
        <v>110</v>
      </c>
      <c r="BAE29" s="53">
        <f t="shared" si="2156"/>
        <v>18.333333333333332</v>
      </c>
      <c r="BAF29" s="50"/>
      <c r="BAG29" s="51"/>
      <c r="BAH29" s="51"/>
      <c r="BAI29" s="51"/>
      <c r="BAJ29" s="51"/>
      <c r="BAK29" s="51"/>
      <c r="BAL29" s="52">
        <f t="shared" si="2157"/>
        <v>0</v>
      </c>
      <c r="BAM29" s="53">
        <f t="shared" si="2158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9"/>
        <v>110</v>
      </c>
      <c r="BAU29" s="53">
        <f t="shared" si="2160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61"/>
        <v>110</v>
      </c>
      <c r="BBC29" s="53">
        <f t="shared" si="2162"/>
        <v>18.333333333333332</v>
      </c>
      <c r="BBD29" s="50"/>
      <c r="BBE29" s="51"/>
      <c r="BBF29" s="51"/>
      <c r="BBG29" s="51"/>
      <c r="BBH29" s="51"/>
      <c r="BBI29" s="51"/>
      <c r="BBJ29" s="52">
        <f t="shared" si="2163"/>
        <v>0</v>
      </c>
      <c r="BBK29" s="53">
        <f t="shared" si="2164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5"/>
        <v>110</v>
      </c>
      <c r="BBS29" s="53">
        <f t="shared" si="2166"/>
        <v>18.333333333333332</v>
      </c>
      <c r="BBT29" s="50"/>
      <c r="BBU29" s="51"/>
      <c r="BBV29" s="51"/>
      <c r="BBW29" s="51"/>
      <c r="BBX29" s="51"/>
      <c r="BBY29" s="51"/>
      <c r="BBZ29" s="52">
        <f t="shared" si="2167"/>
        <v>0</v>
      </c>
      <c r="BCA29" s="53">
        <f t="shared" si="2168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9"/>
        <v>110</v>
      </c>
      <c r="BCI29" s="53">
        <f t="shared" si="2170"/>
        <v>18.333333333333332</v>
      </c>
      <c r="BCJ29" s="50"/>
      <c r="BCK29" s="51"/>
      <c r="BCL29" s="51"/>
      <c r="BCM29" s="51"/>
      <c r="BCN29" s="51"/>
      <c r="BCO29" s="51"/>
      <c r="BCP29" s="52">
        <f t="shared" si="2171"/>
        <v>0</v>
      </c>
      <c r="BCQ29" s="53">
        <f t="shared" si="2172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73"/>
        <v>110</v>
      </c>
      <c r="BCY29" s="53">
        <f t="shared" si="2174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5"/>
        <v>110</v>
      </c>
      <c r="BDG29" s="53">
        <f t="shared" si="2176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7"/>
        <v>108</v>
      </c>
      <c r="BDO29" s="102">
        <f t="shared" si="2178"/>
        <v>18</v>
      </c>
      <c r="BDP29" s="196"/>
      <c r="BDQ29" s="197"/>
      <c r="BDR29" s="197"/>
      <c r="BDS29" s="197"/>
      <c r="BDT29" s="197"/>
      <c r="BDU29" s="197"/>
      <c r="BDV29" s="215">
        <f t="shared" si="2179"/>
        <v>0</v>
      </c>
      <c r="BDW29" s="220">
        <f t="shared" si="2180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81"/>
        <v>110</v>
      </c>
      <c r="BEE29" s="53">
        <f t="shared" si="2182"/>
        <v>18.333333333333332</v>
      </c>
      <c r="BEF29" s="50"/>
      <c r="BEG29" s="51"/>
      <c r="BEH29" s="51"/>
      <c r="BEI29" s="51"/>
      <c r="BEJ29" s="51"/>
      <c r="BEK29" s="51"/>
      <c r="BEL29" s="42">
        <f t="shared" si="2183"/>
        <v>0</v>
      </c>
      <c r="BEM29" s="43">
        <f t="shared" si="2184"/>
        <v>0</v>
      </c>
      <c r="BEN29" s="50"/>
      <c r="BEO29" s="51"/>
      <c r="BEP29" s="51"/>
      <c r="BEQ29" s="51"/>
      <c r="BER29" s="51"/>
      <c r="BES29" s="51"/>
      <c r="BET29" s="52">
        <f t="shared" si="2185"/>
        <v>0</v>
      </c>
      <c r="BEU29" s="53">
        <f t="shared" si="2186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7"/>
        <v>99</v>
      </c>
      <c r="BFC29" s="53">
        <f t="shared" si="2188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9"/>
        <v>110</v>
      </c>
      <c r="BFK29" s="43">
        <f t="shared" si="2190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91"/>
        <v>220</v>
      </c>
      <c r="BFS29" s="53">
        <f t="shared" si="2192"/>
        <v>36.666666666666664</v>
      </c>
      <c r="BFT29" s="50"/>
      <c r="BFU29" s="51"/>
      <c r="BFV29" s="51"/>
      <c r="BFW29" s="51"/>
      <c r="BFX29" s="51"/>
      <c r="BFY29" s="51"/>
      <c r="BFZ29" s="52">
        <f t="shared" si="2193"/>
        <v>0</v>
      </c>
      <c r="BGA29" s="53">
        <f t="shared" si="2194"/>
        <v>0</v>
      </c>
      <c r="BGB29" s="50"/>
      <c r="BGC29" s="51"/>
      <c r="BGD29" s="51"/>
      <c r="BGE29" s="51"/>
      <c r="BGF29" s="51"/>
      <c r="BGG29" s="51"/>
      <c r="BGH29" s="52">
        <f t="shared" si="2195"/>
        <v>0</v>
      </c>
      <c r="BGI29" s="53">
        <f t="shared" si="2196"/>
        <v>0</v>
      </c>
      <c r="BGJ29" s="50"/>
      <c r="BGK29" s="51"/>
      <c r="BGL29" s="51"/>
      <c r="BGM29" s="51"/>
      <c r="BGN29" s="51"/>
      <c r="BGO29" s="51"/>
      <c r="BGP29" s="52">
        <f t="shared" si="2197"/>
        <v>0</v>
      </c>
      <c r="BGQ29" s="53">
        <f t="shared" si="2198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9"/>
        <v>109</v>
      </c>
      <c r="BGY29" s="53">
        <f t="shared" si="2200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201"/>
        <v>40</v>
      </c>
      <c r="BHG29" s="53">
        <f t="shared" si="2202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203"/>
        <v>122</v>
      </c>
      <c r="BHO29" s="53">
        <f t="shared" si="2204"/>
        <v>20.333333333333332</v>
      </c>
      <c r="BHP29" s="50"/>
      <c r="BHQ29" s="51"/>
      <c r="BHR29" s="51"/>
      <c r="BHS29" s="51"/>
      <c r="BHT29" s="51"/>
      <c r="BHU29" s="51"/>
      <c r="BHV29" s="52">
        <f t="shared" si="2205"/>
        <v>0</v>
      </c>
      <c r="BHW29" s="53">
        <f t="shared" si="2206"/>
        <v>0</v>
      </c>
      <c r="BHX29" s="50"/>
      <c r="BHY29" s="51"/>
      <c r="BHZ29" s="51"/>
      <c r="BIA29" s="51"/>
      <c r="BIB29" s="51"/>
      <c r="BIC29" s="51"/>
      <c r="BID29" s="42">
        <f t="shared" si="2207"/>
        <v>0</v>
      </c>
      <c r="BIE29" s="43">
        <f t="shared" si="2208"/>
        <v>0</v>
      </c>
      <c r="BIF29" s="50"/>
      <c r="BIG29" s="51"/>
      <c r="BIH29" s="51"/>
      <c r="BII29" s="51"/>
      <c r="BIJ29" s="51"/>
      <c r="BIK29" s="51"/>
      <c r="BIL29" s="52">
        <f t="shared" si="2209"/>
        <v>0</v>
      </c>
      <c r="BIM29" s="53">
        <f t="shared" si="2210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11"/>
        <v>100</v>
      </c>
      <c r="BIU29" s="53">
        <f t="shared" si="2212"/>
        <v>16.666666666666668</v>
      </c>
      <c r="BIV29" s="50"/>
      <c r="BIW29" s="51"/>
      <c r="BIX29" s="51"/>
      <c r="BIY29" s="51"/>
      <c r="BIZ29" s="51"/>
      <c r="BJA29" s="51"/>
      <c r="BJB29" s="52">
        <f t="shared" si="2213"/>
        <v>0</v>
      </c>
      <c r="BJC29" s="53">
        <f t="shared" si="2214"/>
        <v>0</v>
      </c>
      <c r="BJD29" s="50"/>
      <c r="BJE29" s="51"/>
      <c r="BJF29" s="51"/>
      <c r="BJG29" s="51"/>
      <c r="BJH29" s="51"/>
      <c r="BJI29" s="51"/>
      <c r="BJJ29" s="52">
        <f t="shared" si="2215"/>
        <v>0</v>
      </c>
      <c r="BJK29" s="53">
        <f t="shared" si="2216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7"/>
        <v>50</v>
      </c>
      <c r="BJS29" s="53">
        <f t="shared" si="2218"/>
        <v>8.3333333333333339</v>
      </c>
      <c r="BJT29" s="50"/>
      <c r="BJU29" s="51"/>
      <c r="BJV29" s="51"/>
      <c r="BJW29" s="51"/>
      <c r="BJX29" s="51"/>
      <c r="BJY29" s="51"/>
      <c r="BJZ29" s="69">
        <f t="shared" si="2219"/>
        <v>0</v>
      </c>
      <c r="BKA29" s="53">
        <f t="shared" si="2220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21"/>
        <v>86</v>
      </c>
      <c r="BKI29" s="53">
        <f t="shared" si="2222"/>
        <v>14.333333333333334</v>
      </c>
      <c r="BKJ29" s="50"/>
      <c r="BKK29" s="51"/>
      <c r="BKL29" s="51"/>
      <c r="BKM29" s="51"/>
      <c r="BKN29" s="51"/>
      <c r="BKO29" s="51"/>
      <c r="BKP29" s="69">
        <f t="shared" si="2223"/>
        <v>0</v>
      </c>
      <c r="BKQ29" s="53">
        <f t="shared" si="2224"/>
        <v>0</v>
      </c>
      <c r="BKR29" s="50"/>
      <c r="BKS29" s="51"/>
      <c r="BKT29" s="51"/>
      <c r="BKU29" s="51"/>
      <c r="BKV29" s="51"/>
      <c r="BKW29" s="51"/>
      <c r="BKX29" s="67">
        <f t="shared" si="2225"/>
        <v>0</v>
      </c>
      <c r="BKY29" s="43">
        <f t="shared" si="2226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7"/>
        <v>57</v>
      </c>
      <c r="BLG29" s="53">
        <f t="shared" si="2228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9"/>
        <v>100</v>
      </c>
      <c r="BLO29" s="70">
        <f t="shared" si="2230"/>
        <v>16.666666666666668</v>
      </c>
      <c r="BLP29" s="50"/>
      <c r="BLQ29" s="51"/>
      <c r="BLR29" s="51"/>
      <c r="BLS29" s="51"/>
      <c r="BLT29" s="51"/>
      <c r="BLU29" s="51"/>
      <c r="BLV29" s="69">
        <f t="shared" si="2231"/>
        <v>0</v>
      </c>
      <c r="BLW29" s="70">
        <f t="shared" si="2232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33"/>
        <v>153</v>
      </c>
      <c r="BME29" s="53">
        <f t="shared" si="2234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5"/>
        <v>108</v>
      </c>
      <c r="BMM29" s="53">
        <f t="shared" si="2236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7"/>
        <v>90</v>
      </c>
      <c r="BMU29" s="53">
        <f t="shared" si="2238"/>
        <v>15</v>
      </c>
      <c r="BMV29" s="50"/>
      <c r="BMW29" s="51"/>
      <c r="BMX29" s="51"/>
      <c r="BMY29" s="51"/>
      <c r="BMZ29" s="51"/>
      <c r="BNA29" s="51"/>
      <c r="BNB29" s="67">
        <f t="shared" si="2239"/>
        <v>0</v>
      </c>
      <c r="BNC29" s="43">
        <f t="shared" si="2240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41"/>
        <v>79</v>
      </c>
      <c r="BNK29" s="210">
        <f t="shared" si="2242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43"/>
        <v>44</v>
      </c>
      <c r="BNS29" s="212">
        <f t="shared" si="2244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5"/>
        <v>191</v>
      </c>
      <c r="BOA29" s="199">
        <f t="shared" si="2246"/>
        <v>31.833333333333332</v>
      </c>
      <c r="BOB29" s="50"/>
      <c r="BOC29" s="51"/>
      <c r="BOD29" s="51"/>
      <c r="BOE29" s="51"/>
      <c r="BOF29" s="51"/>
      <c r="BOG29" s="51"/>
      <c r="BOH29" s="69">
        <f t="shared" si="2247"/>
        <v>0</v>
      </c>
      <c r="BOI29" s="70">
        <f t="shared" si="2248"/>
        <v>0</v>
      </c>
      <c r="BOJ29" s="50"/>
      <c r="BOK29" s="51"/>
      <c r="BOL29" s="51"/>
      <c r="BOM29" s="51"/>
      <c r="BON29" s="51"/>
      <c r="BOO29" s="51"/>
      <c r="BOP29" s="69">
        <f t="shared" si="2249"/>
        <v>0</v>
      </c>
      <c r="BOQ29" s="70">
        <f t="shared" si="2250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51"/>
        <v>45</v>
      </c>
      <c r="BOY29" s="70">
        <f t="shared" si="2252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53"/>
        <v>100</v>
      </c>
      <c r="BPG29" s="70">
        <f t="shared" si="2254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5"/>
        <v>40</v>
      </c>
      <c r="BPO29" s="70">
        <f t="shared" si="2256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7"/>
        <v>106</v>
      </c>
      <c r="BPW29" s="70">
        <f t="shared" si="2258"/>
        <v>17.666666666666668</v>
      </c>
      <c r="BPX29" s="50"/>
      <c r="BPY29" s="51"/>
      <c r="BPZ29" s="51"/>
      <c r="BQA29" s="51"/>
      <c r="BQB29" s="51"/>
      <c r="BQC29" s="51"/>
      <c r="BQD29" s="69">
        <f t="shared" si="2259"/>
        <v>0</v>
      </c>
      <c r="BQE29" s="70">
        <f t="shared" si="2260"/>
        <v>0</v>
      </c>
      <c r="BQF29" s="50"/>
      <c r="BQG29" s="51"/>
      <c r="BQH29" s="51"/>
      <c r="BQI29" s="51"/>
      <c r="BQJ29" s="51"/>
      <c r="BQK29" s="51"/>
      <c r="BQL29" s="69">
        <f t="shared" si="2261"/>
        <v>0</v>
      </c>
      <c r="BQM29" s="70">
        <f t="shared" si="2262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63"/>
        <v>152</v>
      </c>
      <c r="BQU29" s="70">
        <f t="shared" si="2264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5"/>
        <v>36</v>
      </c>
      <c r="BRC29" s="70">
        <f t="shared" si="2266"/>
        <v>6</v>
      </c>
      <c r="BRD29" s="50"/>
      <c r="BRE29" s="51"/>
      <c r="BRF29" s="51"/>
      <c r="BRG29" s="51"/>
      <c r="BRH29" s="51"/>
      <c r="BRI29" s="51"/>
      <c r="BRJ29" s="69">
        <f t="shared" si="2267"/>
        <v>0</v>
      </c>
      <c r="BRK29" s="70">
        <f t="shared" si="2268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9"/>
        <v>180</v>
      </c>
      <c r="BRS29" s="70">
        <f t="shared" si="2270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71"/>
        <v>110</v>
      </c>
      <c r="BSA29" s="70">
        <f t="shared" si="2272"/>
        <v>18.333333333333332</v>
      </c>
      <c r="BSB29" s="50"/>
      <c r="BSC29" s="51"/>
      <c r="BSD29" s="51"/>
      <c r="BSE29" s="51"/>
      <c r="BSF29" s="51"/>
      <c r="BSG29" s="51"/>
      <c r="BSH29" s="69">
        <f t="shared" si="2273"/>
        <v>0</v>
      </c>
      <c r="BSI29" s="70">
        <f t="shared" si="2274"/>
        <v>0</v>
      </c>
      <c r="BSJ29" s="50"/>
      <c r="BSK29" s="51"/>
      <c r="BSL29" s="51"/>
      <c r="BSM29" s="51"/>
      <c r="BSN29" s="51"/>
      <c r="BSO29" s="51"/>
      <c r="BSP29" s="67">
        <f t="shared" si="2275"/>
        <v>0</v>
      </c>
      <c r="BSQ29" s="68">
        <f t="shared" si="2276"/>
        <v>0</v>
      </c>
      <c r="BSR29" s="50"/>
      <c r="BSS29" s="51"/>
      <c r="BST29" s="51"/>
      <c r="BSU29" s="51"/>
      <c r="BSV29" s="51"/>
      <c r="BSW29" s="51"/>
      <c r="BSX29" s="69">
        <f t="shared" si="2277"/>
        <v>0</v>
      </c>
      <c r="BSY29" s="70">
        <f t="shared" si="2278"/>
        <v>0</v>
      </c>
      <c r="BSZ29" s="50"/>
      <c r="BTA29" s="51"/>
      <c r="BTB29" s="51"/>
      <c r="BTC29" s="51"/>
      <c r="BTD29" s="51"/>
      <c r="BTE29" s="51"/>
      <c r="BTF29" s="69">
        <f t="shared" si="2279"/>
        <v>0</v>
      </c>
      <c r="BTG29" s="70">
        <f t="shared" si="2280"/>
        <v>0</v>
      </c>
      <c r="BTH29" s="50"/>
      <c r="BTI29" s="51"/>
      <c r="BTJ29" s="51"/>
      <c r="BTK29" s="51"/>
      <c r="BTL29" s="51"/>
      <c r="BTM29" s="51"/>
      <c r="BTN29" s="69">
        <f t="shared" si="2281"/>
        <v>0</v>
      </c>
      <c r="BTO29" s="70">
        <f t="shared" si="2282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83"/>
        <v>40</v>
      </c>
      <c r="BTW29" s="70">
        <f t="shared" si="2284"/>
        <v>6.666666666666667</v>
      </c>
      <c r="BTX29" s="50"/>
      <c r="BTY29" s="51"/>
      <c r="BTZ29" s="51"/>
      <c r="BUA29" s="51"/>
      <c r="BUB29" s="51"/>
      <c r="BUC29" s="51"/>
      <c r="BUD29" s="69">
        <f t="shared" si="2285"/>
        <v>0</v>
      </c>
      <c r="BUE29" s="70">
        <f t="shared" si="2286"/>
        <v>0</v>
      </c>
      <c r="BUF29" s="50"/>
      <c r="BUG29" s="51"/>
      <c r="BUH29" s="51"/>
      <c r="BUI29" s="51"/>
      <c r="BUJ29" s="51"/>
      <c r="BUK29" s="51"/>
      <c r="BUL29" s="69">
        <f t="shared" si="2287"/>
        <v>0</v>
      </c>
      <c r="BUM29" s="70">
        <f t="shared" si="2288"/>
        <v>0</v>
      </c>
      <c r="BUN29" s="50"/>
      <c r="BUO29" s="51"/>
      <c r="BUP29" s="51"/>
      <c r="BUQ29" s="51"/>
      <c r="BUR29" s="51"/>
      <c r="BUS29" s="51"/>
      <c r="BUT29" s="69">
        <f t="shared" si="2289"/>
        <v>0</v>
      </c>
      <c r="BUU29" s="70">
        <f t="shared" si="2290"/>
        <v>0</v>
      </c>
      <c r="BUV29" s="50"/>
      <c r="BUW29" s="51"/>
      <c r="BUX29" s="51"/>
      <c r="BUY29" s="51"/>
      <c r="BUZ29" s="51"/>
      <c r="BVA29" s="51"/>
      <c r="BVB29" s="69">
        <f t="shared" si="2291"/>
        <v>0</v>
      </c>
      <c r="BVC29" s="70">
        <f t="shared" si="2292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93"/>
        <v>40</v>
      </c>
      <c r="BVK29" s="70">
        <f t="shared" si="2294"/>
        <v>6.666666666666667</v>
      </c>
      <c r="BVL29" s="50"/>
      <c r="BVM29" s="51"/>
      <c r="BVN29" s="51"/>
      <c r="BVO29" s="51"/>
      <c r="BVP29" s="51"/>
      <c r="BVQ29" s="51"/>
      <c r="BVR29" s="69">
        <f t="shared" si="2295"/>
        <v>0</v>
      </c>
      <c r="BVS29" s="70">
        <f t="shared" si="2296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7"/>
        <v>40</v>
      </c>
      <c r="BWA29" s="70">
        <f t="shared" si="2298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9"/>
        <v>40</v>
      </c>
      <c r="BWI29" s="70">
        <f t="shared" si="2300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301"/>
        <v>100</v>
      </c>
      <c r="BWQ29" s="70">
        <f t="shared" si="2302"/>
        <v>16.666666666666668</v>
      </c>
      <c r="BWR29" s="50"/>
      <c r="BWS29" s="51"/>
      <c r="BWT29" s="51"/>
      <c r="BWU29" s="51"/>
      <c r="BWV29" s="51"/>
      <c r="BWW29" s="51"/>
      <c r="BWX29" s="69">
        <f t="shared" si="2303"/>
        <v>0</v>
      </c>
      <c r="BWY29" s="70">
        <f t="shared" si="2304"/>
        <v>0</v>
      </c>
      <c r="BWZ29" s="50"/>
      <c r="BXA29" s="51"/>
      <c r="BXB29" s="51"/>
      <c r="BXC29" s="51"/>
      <c r="BXD29" s="51"/>
      <c r="BXE29" s="51"/>
      <c r="BXF29" s="69">
        <f t="shared" si="2305"/>
        <v>0</v>
      </c>
      <c r="BXG29" s="70">
        <f t="shared" si="2306"/>
        <v>0</v>
      </c>
      <c r="BXH29" s="50"/>
      <c r="BXI29" s="51"/>
      <c r="BXJ29" s="51"/>
      <c r="BXK29" s="51"/>
      <c r="BXL29" s="51"/>
      <c r="BXM29" s="51"/>
      <c r="BXN29" s="69">
        <f t="shared" si="2307"/>
        <v>0</v>
      </c>
      <c r="BXO29" s="70">
        <f t="shared" si="2308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9"/>
        <v>82</v>
      </c>
      <c r="BXW29" s="70">
        <f t="shared" si="2310"/>
        <v>13.666666666666666</v>
      </c>
      <c r="BXX29" s="50"/>
      <c r="BXY29" s="51"/>
      <c r="BXZ29" s="51"/>
      <c r="BYA29" s="51"/>
      <c r="BYB29" s="51"/>
      <c r="BYC29" s="51"/>
      <c r="BYD29" s="69">
        <f t="shared" si="2311"/>
        <v>0</v>
      </c>
      <c r="BYE29" s="70">
        <f t="shared" si="2312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13"/>
        <v>40</v>
      </c>
      <c r="BYM29" s="70">
        <f t="shared" si="2314"/>
        <v>6.666666666666667</v>
      </c>
      <c r="BYN29" s="50"/>
      <c r="BYO29" s="51"/>
      <c r="BYP29" s="51"/>
      <c r="BYQ29" s="51"/>
      <c r="BYR29" s="51"/>
      <c r="BYS29" s="51"/>
      <c r="BYT29" s="69">
        <f t="shared" si="2315"/>
        <v>0</v>
      </c>
      <c r="BYU29" s="70">
        <f t="shared" si="2316"/>
        <v>0</v>
      </c>
      <c r="BYV29" s="50"/>
      <c r="BYW29" s="51"/>
      <c r="BYX29" s="51"/>
      <c r="BYY29" s="51"/>
      <c r="BYZ29" s="51"/>
      <c r="BZA29" s="51"/>
      <c r="BZB29" s="69">
        <f t="shared" si="2317"/>
        <v>0</v>
      </c>
      <c r="BZC29" s="70">
        <f t="shared" si="2318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9"/>
        <v>81</v>
      </c>
      <c r="BZK29" s="70">
        <f t="shared" si="2320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21"/>
        <v>40</v>
      </c>
      <c r="BZS29" s="70">
        <f t="shared" si="2322"/>
        <v>6.666666666666667</v>
      </c>
      <c r="BZT29" s="50"/>
      <c r="BZU29" s="51"/>
      <c r="BZV29" s="51"/>
      <c r="BZW29" s="51"/>
      <c r="BZX29" s="51"/>
      <c r="BZY29" s="51"/>
      <c r="BZZ29" s="69">
        <f t="shared" si="2323"/>
        <v>0</v>
      </c>
      <c r="CAA29" s="70">
        <f t="shared" si="2324"/>
        <v>0</v>
      </c>
      <c r="CAB29" s="50"/>
      <c r="CAC29" s="51"/>
      <c r="CAD29" s="51"/>
      <c r="CAE29" s="51"/>
      <c r="CAF29" s="51"/>
      <c r="CAG29" s="51"/>
      <c r="CAH29" s="69">
        <f t="shared" si="2325"/>
        <v>0</v>
      </c>
      <c r="CAI29" s="70">
        <f t="shared" si="2326"/>
        <v>0</v>
      </c>
      <c r="CAJ29" s="50"/>
      <c r="CAK29" s="51"/>
      <c r="CAL29" s="51"/>
      <c r="CAM29" s="51"/>
      <c r="CAN29" s="51"/>
      <c r="CAO29" s="51"/>
      <c r="CAP29" s="69">
        <f t="shared" si="2327"/>
        <v>0</v>
      </c>
      <c r="CAQ29" s="70">
        <f t="shared" si="2328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9"/>
        <v>42</v>
      </c>
      <c r="CAY29" s="70">
        <f t="shared" si="2330"/>
        <v>7</v>
      </c>
      <c r="CAZ29" s="50"/>
      <c r="CBA29" s="51"/>
      <c r="CBB29" s="51"/>
      <c r="CBC29" s="51"/>
      <c r="CBD29" s="51"/>
      <c r="CBE29" s="51"/>
      <c r="CBF29" s="69">
        <f t="shared" si="2331"/>
        <v>0</v>
      </c>
      <c r="CBG29" s="70">
        <f t="shared" si="2332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33"/>
        <v>49</v>
      </c>
      <c r="CBO29" s="70">
        <f t="shared" si="2334"/>
        <v>8.1666666666666661</v>
      </c>
      <c r="CBP29" s="50"/>
      <c r="CBQ29" s="51"/>
      <c r="CBR29" s="51"/>
      <c r="CBS29" s="51"/>
      <c r="CBT29" s="51"/>
      <c r="CBU29" s="51"/>
      <c r="CBV29" s="69">
        <f t="shared" si="2335"/>
        <v>0</v>
      </c>
      <c r="CBW29" s="70">
        <f t="shared" si="2336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7"/>
        <v>50</v>
      </c>
      <c r="CCE29" s="70">
        <f t="shared" si="2338"/>
        <v>8.3333333333333339</v>
      </c>
      <c r="CCF29" s="50"/>
      <c r="CCG29" s="51"/>
      <c r="CCH29" s="51"/>
      <c r="CCI29" s="51"/>
      <c r="CCJ29" s="51"/>
      <c r="CCK29" s="51"/>
      <c r="CCL29" s="69">
        <f t="shared" si="2339"/>
        <v>0</v>
      </c>
      <c r="CCM29" s="70">
        <f t="shared" si="2340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41"/>
        <v>40</v>
      </c>
      <c r="CCU29" s="70">
        <f t="shared" si="2342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43"/>
        <v>50</v>
      </c>
      <c r="CDC29" s="70">
        <f t="shared" si="2344"/>
        <v>8.3333333333333339</v>
      </c>
      <c r="CDD29" s="209"/>
      <c r="CDE29" s="200"/>
      <c r="CDF29" s="200"/>
      <c r="CDG29" s="200"/>
      <c r="CDH29" s="200"/>
      <c r="CDI29" s="200"/>
      <c r="CDJ29" s="69">
        <f t="shared" si="2345"/>
        <v>0</v>
      </c>
      <c r="CDK29" s="70">
        <f t="shared" si="2346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7"/>
        <v>41</v>
      </c>
      <c r="CDS29" s="70">
        <f t="shared" si="2348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9"/>
        <v>40</v>
      </c>
      <c r="CEA29" s="70">
        <f t="shared" si="2350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51"/>
        <v>40</v>
      </c>
      <c r="CEI29" s="210">
        <f t="shared" si="2352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53"/>
        <v>19</v>
      </c>
      <c r="CEQ29" s="68">
        <f t="shared" si="2354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5"/>
        <v>0</v>
      </c>
      <c r="CFE29" s="70">
        <f t="shared" si="2356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7"/>
        <v>0</v>
      </c>
      <c r="CFM29" s="70">
        <f t="shared" si="2358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9"/>
        <v>60</v>
      </c>
      <c r="CFU29" s="70">
        <f t="shared" si="2360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61"/>
        <v>0</v>
      </c>
      <c r="CGC29" s="70">
        <f t="shared" si="2362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63"/>
        <v>0</v>
      </c>
      <c r="CGK29" s="70">
        <f t="shared" si="2364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5"/>
        <v>0</v>
      </c>
      <c r="CGS29" s="70">
        <f t="shared" si="2366"/>
        <v>0</v>
      </c>
      <c r="CGT29" s="50"/>
      <c r="CGU29" s="51"/>
      <c r="CGV29" s="51"/>
      <c r="CGW29" s="51"/>
      <c r="CGX29" s="51"/>
      <c r="CGY29" s="51"/>
      <c r="CGZ29" s="66">
        <f t="shared" si="2367"/>
        <v>0</v>
      </c>
      <c r="CHA29" s="70">
        <f t="shared" si="2368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9"/>
        <v>30</v>
      </c>
      <c r="CHI29" s="70">
        <f t="shared" si="2370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71"/>
        <v>51</v>
      </c>
      <c r="CHQ29" s="70">
        <f t="shared" si="2372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73"/>
        <v>0</v>
      </c>
      <c r="CHY29" s="70">
        <f t="shared" si="2374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5"/>
        <v>0</v>
      </c>
      <c r="CIG29" s="70">
        <f t="shared" si="2376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7"/>
        <v>20</v>
      </c>
      <c r="CIO29" s="70">
        <f t="shared" si="2378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9"/>
        <v>40</v>
      </c>
      <c r="CIW29" s="70">
        <f t="shared" si="2380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81"/>
        <v>0</v>
      </c>
      <c r="CJE29" s="53">
        <f t="shared" si="2382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83"/>
        <v>48</v>
      </c>
      <c r="CJM29" s="53">
        <f t="shared" si="2384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5"/>
        <v>40</v>
      </c>
      <c r="CJU29" s="53">
        <f t="shared" si="2386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7"/>
        <v>0</v>
      </c>
      <c r="CKC29" s="53">
        <f t="shared" si="2388"/>
        <v>0</v>
      </c>
      <c r="CKD29" s="50"/>
      <c r="CKE29" s="51"/>
      <c r="CKF29" s="51"/>
      <c r="CKG29" s="51"/>
      <c r="CKH29" s="51"/>
      <c r="CKI29" s="51"/>
      <c r="CKJ29" s="128">
        <f t="shared" si="2389"/>
        <v>0</v>
      </c>
      <c r="CKK29" s="53">
        <f t="shared" si="2390"/>
        <v>0</v>
      </c>
      <c r="CKL29" s="50"/>
      <c r="CKM29" s="51"/>
      <c r="CKN29" s="51"/>
      <c r="CKO29" s="51"/>
      <c r="CKP29" s="51"/>
      <c r="CKQ29" s="51"/>
      <c r="CKR29" s="128">
        <f t="shared" si="2391"/>
        <v>0</v>
      </c>
      <c r="CKS29" s="53">
        <f t="shared" si="2392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93"/>
        <v>50</v>
      </c>
      <c r="CLA29" s="53">
        <f t="shared" si="2394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5"/>
        <v>50</v>
      </c>
      <c r="CLI29" s="53">
        <f t="shared" si="2396"/>
        <v>8.3333333333333339</v>
      </c>
      <c r="CLJ29" s="50"/>
      <c r="CLK29" s="51"/>
      <c r="CLL29" s="51"/>
      <c r="CLM29" s="51"/>
      <c r="CLN29" s="51"/>
      <c r="CLO29" s="51"/>
      <c r="CLP29" s="128">
        <f t="shared" si="2397"/>
        <v>0</v>
      </c>
      <c r="CLQ29" s="53">
        <f t="shared" si="2398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9"/>
        <v>50</v>
      </c>
      <c r="CLY29" s="53">
        <f t="shared" si="2400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401"/>
        <v>27</v>
      </c>
      <c r="CMG29" s="53">
        <f t="shared" si="2402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403"/>
        <v>41</v>
      </c>
      <c r="CMO29" s="53">
        <f t="shared" si="2404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5"/>
        <v>0</v>
      </c>
      <c r="CMW29" s="53">
        <f t="shared" si="2406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7"/>
        <v>30</v>
      </c>
      <c r="CNE29" s="70">
        <f t="shared" si="2408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9"/>
        <v>0</v>
      </c>
      <c r="CNM29" s="70">
        <f t="shared" si="2410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11"/>
        <v>30</v>
      </c>
      <c r="CNU29" s="70">
        <f t="shared" si="2412"/>
        <v>5</v>
      </c>
      <c r="CNV29" s="50"/>
      <c r="CNW29" s="51"/>
      <c r="CNX29" s="51"/>
      <c r="CNY29" s="51"/>
      <c r="CNZ29" s="51"/>
      <c r="COA29" s="51"/>
      <c r="COB29" s="66">
        <f t="shared" si="2413"/>
        <v>0</v>
      </c>
      <c r="COC29" s="70">
        <f t="shared" si="2414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5"/>
        <v>30</v>
      </c>
      <c r="COK29" s="70">
        <f t="shared" si="2416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7"/>
        <v>50</v>
      </c>
      <c r="COS29" s="70">
        <f t="shared" si="2418"/>
        <v>8.3333333333333339</v>
      </c>
      <c r="COT29" s="50"/>
      <c r="COU29" s="51"/>
      <c r="COV29" s="51"/>
      <c r="COW29" s="51"/>
      <c r="COX29" s="51"/>
      <c r="COY29" s="51"/>
      <c r="COZ29" s="66">
        <f t="shared" si="2419"/>
        <v>0</v>
      </c>
      <c r="CPA29" s="70">
        <f t="shared" si="2420"/>
        <v>0</v>
      </c>
      <c r="CPB29" s="50"/>
      <c r="CPC29" s="51"/>
      <c r="CPD29" s="51"/>
      <c r="CPE29" s="51"/>
      <c r="CPF29" s="51"/>
      <c r="CPG29" s="51"/>
      <c r="CPH29" s="66">
        <f t="shared" si="2421"/>
        <v>0</v>
      </c>
      <c r="CPI29" s="70">
        <f t="shared" si="2422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23"/>
        <v>0</v>
      </c>
      <c r="CPQ29" s="70">
        <f t="shared" si="2424"/>
        <v>0</v>
      </c>
      <c r="CPR29" s="84"/>
      <c r="CPS29" s="85"/>
      <c r="CPT29" s="85"/>
      <c r="CPU29" s="85"/>
      <c r="CPV29" s="85"/>
      <c r="CPW29" s="85"/>
      <c r="CPX29" s="66">
        <f t="shared" si="2425"/>
        <v>0</v>
      </c>
      <c r="CPY29" s="70">
        <f t="shared" si="2426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7"/>
        <v>0</v>
      </c>
      <c r="CQG29" s="70">
        <f t="shared" si="2428"/>
        <v>0</v>
      </c>
      <c r="CQH29" s="50"/>
      <c r="CQI29" s="51"/>
      <c r="CQJ29" s="51"/>
      <c r="CQK29" s="51"/>
      <c r="CQL29" s="51"/>
      <c r="CQM29" s="51"/>
      <c r="CQN29" s="128">
        <f t="shared" si="2429"/>
        <v>0</v>
      </c>
      <c r="CQO29" s="53">
        <f t="shared" si="2430"/>
        <v>0</v>
      </c>
      <c r="CQP29" s="50"/>
      <c r="CQQ29" s="51"/>
      <c r="CQR29" s="51"/>
      <c r="CQS29" s="51"/>
      <c r="CQT29" s="51"/>
      <c r="CQU29" s="51"/>
      <c r="CQV29" s="128">
        <f t="shared" si="2431"/>
        <v>0</v>
      </c>
      <c r="CQW29" s="53">
        <f t="shared" si="2432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33"/>
        <v>20</v>
      </c>
      <c r="CRE29" s="53">
        <f t="shared" si="2434"/>
        <v>3.3333333333333335</v>
      </c>
      <c r="CRF29" s="50"/>
      <c r="CRG29" s="51"/>
      <c r="CRH29" s="51"/>
      <c r="CRI29" s="51"/>
      <c r="CRJ29" s="51"/>
      <c r="CRK29" s="51"/>
      <c r="CRL29" s="128">
        <f t="shared" si="2435"/>
        <v>0</v>
      </c>
      <c r="CRM29" s="53">
        <f t="shared" si="2436"/>
        <v>0</v>
      </c>
      <c r="CRN29" s="50"/>
      <c r="CRO29" s="51"/>
      <c r="CRP29" s="51"/>
      <c r="CRQ29" s="51"/>
      <c r="CRR29" s="51"/>
      <c r="CRS29" s="51"/>
      <c r="CRT29" s="128">
        <f t="shared" si="2437"/>
        <v>0</v>
      </c>
      <c r="CRU29" s="53">
        <f t="shared" si="2438"/>
        <v>0</v>
      </c>
      <c r="CRV29" s="240"/>
      <c r="CRW29" s="241"/>
      <c r="CRX29" s="241"/>
      <c r="CRY29" s="241"/>
      <c r="CRZ29" s="241"/>
      <c r="CSA29" s="241"/>
      <c r="CSB29" s="128">
        <f t="shared" si="2439"/>
        <v>0</v>
      </c>
      <c r="CSC29" s="53">
        <f t="shared" si="2440"/>
        <v>0</v>
      </c>
      <c r="CSD29" s="50"/>
      <c r="CSE29" s="51"/>
      <c r="CSF29" s="51"/>
      <c r="CSG29" s="51"/>
      <c r="CSH29" s="51"/>
      <c r="CSI29" s="51"/>
      <c r="CSJ29" s="128">
        <f t="shared" si="2441"/>
        <v>0</v>
      </c>
      <c r="CSK29" s="53">
        <f t="shared" si="2442"/>
        <v>0</v>
      </c>
      <c r="CSL29" s="50"/>
      <c r="CSM29" s="51"/>
      <c r="CSN29" s="51"/>
      <c r="CSO29" s="51"/>
      <c r="CSP29" s="51"/>
      <c r="CSQ29" s="51"/>
      <c r="CSR29" s="128">
        <f t="shared" si="2443"/>
        <v>0</v>
      </c>
      <c r="CSS29" s="53">
        <f t="shared" si="2444"/>
        <v>0</v>
      </c>
      <c r="CST29" s="50"/>
      <c r="CSU29" s="51"/>
      <c r="CSV29" s="51"/>
      <c r="CSW29" s="51"/>
      <c r="CSX29" s="51"/>
      <c r="CSY29" s="51"/>
      <c r="CSZ29" s="128">
        <f t="shared" si="2445"/>
        <v>0</v>
      </c>
      <c r="CTA29" s="53">
        <f t="shared" si="2446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7"/>
        <v>20</v>
      </c>
      <c r="CTI29" s="53">
        <f t="shared" si="2448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9"/>
        <v>30</v>
      </c>
      <c r="CTQ29" s="70">
        <f t="shared" si="2450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51"/>
        <v>0</v>
      </c>
      <c r="CTY29" s="70">
        <f t="shared" si="2452"/>
        <v>0</v>
      </c>
      <c r="CTZ29" s="50"/>
      <c r="CUA29" s="51"/>
      <c r="CUB29" s="51"/>
      <c r="CUC29" s="51"/>
      <c r="CUD29" s="51"/>
      <c r="CUE29" s="51"/>
      <c r="CUF29" s="66">
        <f t="shared" si="2453"/>
        <v>0</v>
      </c>
      <c r="CUG29" s="70">
        <f t="shared" si="2454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5"/>
        <v>0</v>
      </c>
      <c r="CUO29" s="70">
        <f t="shared" si="2456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7"/>
        <v>50</v>
      </c>
      <c r="CUW29" s="70">
        <f t="shared" si="2458"/>
        <v>8.3333333333333339</v>
      </c>
      <c r="CUX29" s="50"/>
      <c r="CUY29" s="51"/>
      <c r="CUZ29" s="51"/>
      <c r="CVA29" s="51"/>
      <c r="CVB29" s="51"/>
      <c r="CVC29" s="51"/>
      <c r="CVD29" s="66">
        <f t="shared" si="2459"/>
        <v>0</v>
      </c>
      <c r="CVE29" s="70">
        <f t="shared" si="2460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61"/>
        <v>30</v>
      </c>
      <c r="CVM29" s="70">
        <f t="shared" si="2462"/>
        <v>5</v>
      </c>
      <c r="CVN29" s="50"/>
      <c r="CVO29" s="51"/>
      <c r="CVP29" s="51"/>
      <c r="CVQ29" s="51"/>
      <c r="CVR29" s="51"/>
      <c r="CVS29" s="51"/>
      <c r="CVT29" s="66">
        <f t="shared" si="2463"/>
        <v>0</v>
      </c>
      <c r="CVU29" s="70">
        <f t="shared" si="2464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5"/>
        <v>20</v>
      </c>
      <c r="CWC29" s="70">
        <f t="shared" si="2466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7"/>
        <v>0</v>
      </c>
      <c r="CWK29" s="70">
        <f t="shared" si="2468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9"/>
        <v>0</v>
      </c>
      <c r="CWS29" s="70">
        <f t="shared" si="2470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71"/>
        <v>20</v>
      </c>
      <c r="CXA29" s="70">
        <f t="shared" si="2472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73"/>
        <v>20</v>
      </c>
      <c r="CXI29" s="70">
        <f t="shared" si="2474"/>
        <v>3.3333333333333335</v>
      </c>
      <c r="CXJ29" s="50"/>
      <c r="CXK29" s="51"/>
      <c r="CXL29" s="51"/>
      <c r="CXM29" s="51"/>
      <c r="CXN29" s="51"/>
      <c r="CXO29" s="51"/>
      <c r="CXP29" s="66">
        <f t="shared" si="2475"/>
        <v>0</v>
      </c>
      <c r="CXQ29" s="70">
        <f t="shared" si="2476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7"/>
        <v>100</v>
      </c>
      <c r="CXY29" s="70">
        <f t="shared" si="2478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9"/>
        <v>0</v>
      </c>
      <c r="CYG29" s="70">
        <f t="shared" si="2480"/>
        <v>0</v>
      </c>
      <c r="CYH29" s="50"/>
      <c r="CYI29" s="51"/>
      <c r="CYJ29" s="51"/>
      <c r="CYK29" s="51"/>
      <c r="CYL29" s="51"/>
      <c r="CYM29" s="51"/>
      <c r="CYN29" s="66">
        <f t="shared" si="2481"/>
        <v>0</v>
      </c>
      <c r="CYO29" s="70">
        <f t="shared" si="2482"/>
        <v>0</v>
      </c>
      <c r="CYP29" s="50"/>
      <c r="CYQ29" s="51"/>
      <c r="CYR29" s="51"/>
      <c r="CYS29" s="51"/>
      <c r="CYT29" s="51"/>
      <c r="CYU29" s="51"/>
      <c r="CYV29" s="66">
        <f t="shared" si="2483"/>
        <v>0</v>
      </c>
      <c r="CYW29" s="70">
        <f t="shared" si="2484"/>
        <v>0</v>
      </c>
      <c r="CYX29" s="50"/>
      <c r="CYY29" s="51"/>
      <c r="CYZ29" s="51"/>
      <c r="CZA29" s="51"/>
      <c r="CZB29" s="51"/>
      <c r="CZC29" s="51"/>
      <c r="CZD29" s="66">
        <f t="shared" si="2485"/>
        <v>0</v>
      </c>
      <c r="CZE29" s="70">
        <f t="shared" si="2486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3"/>
        <v>30</v>
      </c>
      <c r="CZM29" s="70">
        <f t="shared" si="1654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5"/>
        <v>31</v>
      </c>
      <c r="CZU29" s="70">
        <f t="shared" si="1656"/>
        <v>5.166666666666667</v>
      </c>
      <c r="CZV29" s="50"/>
      <c r="CZW29" s="51"/>
      <c r="CZX29" s="51"/>
      <c r="CZY29" s="51"/>
      <c r="CZZ29" s="51"/>
      <c r="DAA29" s="51"/>
      <c r="DAB29" s="66">
        <f t="shared" si="1657"/>
        <v>0</v>
      </c>
      <c r="DAC29" s="70">
        <f t="shared" si="1658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9"/>
        <v>0</v>
      </c>
      <c r="DAK29" s="70">
        <f t="shared" si="1660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61"/>
        <v>0</v>
      </c>
      <c r="DAS29" s="70">
        <f t="shared" si="1662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3"/>
        <v>30</v>
      </c>
      <c r="DBA29" s="70">
        <f t="shared" si="1664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5"/>
        <v>20</v>
      </c>
      <c r="DBI29" s="494">
        <f t="shared" si="1666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7"/>
        <v>0</v>
      </c>
      <c r="DBQ29" s="70">
        <f t="shared" si="1668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9"/>
        <v>30</v>
      </c>
      <c r="DBY29" s="70">
        <f t="shared" si="1670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71"/>
        <v>0</v>
      </c>
      <c r="DCG29" s="494">
        <f t="shared" si="1672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3"/>
        <v>0</v>
      </c>
      <c r="DCO29" s="70">
        <f t="shared" si="1674"/>
        <v>0</v>
      </c>
      <c r="DCP29" s="50"/>
      <c r="DCQ29" s="51"/>
      <c r="DCR29" s="51"/>
      <c r="DCS29" s="51"/>
      <c r="DCT29" s="51"/>
      <c r="DCU29" s="51"/>
      <c r="DCV29" s="493">
        <f t="shared" si="1675"/>
        <v>0</v>
      </c>
      <c r="DCW29" s="494">
        <f t="shared" si="1676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7"/>
        <v>50</v>
      </c>
      <c r="DDE29" s="494">
        <f t="shared" si="1678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9"/>
        <v>0</v>
      </c>
      <c r="DDM29" s="494">
        <f t="shared" si="1680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81"/>
        <v>0</v>
      </c>
      <c r="DDU29" s="70">
        <f t="shared" si="1682"/>
        <v>0</v>
      </c>
      <c r="DDV29" s="50"/>
      <c r="DDW29" s="51"/>
      <c r="DDX29" s="51"/>
      <c r="DDY29" s="51"/>
      <c r="DDZ29" s="51"/>
      <c r="DEA29" s="51"/>
      <c r="DEB29" s="493">
        <f t="shared" si="1683"/>
        <v>0</v>
      </c>
      <c r="DEC29" s="494">
        <f t="shared" si="1684"/>
        <v>0</v>
      </c>
      <c r="DED29" s="50"/>
      <c r="DEE29" s="51"/>
      <c r="DEF29" s="51"/>
      <c r="DEG29" s="51"/>
      <c r="DEH29" s="51"/>
      <c r="DEI29" s="51"/>
      <c r="DEJ29" s="493">
        <f t="shared" si="1685"/>
        <v>0</v>
      </c>
      <c r="DEK29" s="494">
        <f t="shared" si="1686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7"/>
        <v>0</v>
      </c>
      <c r="DES29" s="70">
        <f t="shared" si="1688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9"/>
        <v>49</v>
      </c>
      <c r="DFA29" s="494">
        <f t="shared" si="1690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91"/>
        <v>30</v>
      </c>
      <c r="DFI29" s="70">
        <f t="shared" si="1692"/>
        <v>5</v>
      </c>
      <c r="DFJ29" s="50"/>
      <c r="DFK29" s="51"/>
      <c r="DFL29" s="51"/>
      <c r="DFM29" s="51"/>
      <c r="DFN29" s="51"/>
      <c r="DFO29" s="51"/>
      <c r="DFP29" s="66">
        <f t="shared" si="1693"/>
        <v>0</v>
      </c>
      <c r="DFQ29" s="70">
        <f t="shared" si="1694"/>
        <v>0</v>
      </c>
      <c r="DFR29" s="50"/>
      <c r="DFS29" s="51"/>
      <c r="DFT29" s="51"/>
      <c r="DFU29" s="51"/>
      <c r="DFV29" s="51"/>
      <c r="DFW29" s="51"/>
      <c r="DFX29" s="66">
        <f t="shared" si="1695"/>
        <v>0</v>
      </c>
      <c r="DFY29" s="70">
        <f t="shared" si="1696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7"/>
        <v>20</v>
      </c>
      <c r="DGG29" s="70">
        <f t="shared" si="1698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9"/>
        <v>50</v>
      </c>
      <c r="DGO29" s="70">
        <f t="shared" si="1700"/>
        <v>8.3333333333333339</v>
      </c>
      <c r="DGP29" s="50"/>
      <c r="DGQ29" s="51"/>
      <c r="DGR29" s="51"/>
      <c r="DGS29" s="51"/>
      <c r="DGT29" s="51"/>
      <c r="DGU29" s="51"/>
      <c r="DGV29" s="66">
        <f t="shared" si="1701"/>
        <v>0</v>
      </c>
      <c r="DGW29" s="70">
        <f t="shared" si="1702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3"/>
        <v>51</v>
      </c>
      <c r="DHE29" s="70">
        <f t="shared" si="1704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5"/>
        <v>0</v>
      </c>
      <c r="DHM29" s="70">
        <f t="shared" si="1706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7"/>
        <v>50</v>
      </c>
      <c r="DHU29" s="70">
        <f t="shared" si="1708"/>
        <v>8.3333333333333339</v>
      </c>
      <c r="DHV29" s="50"/>
      <c r="DHW29" s="51"/>
      <c r="DHX29" s="51"/>
      <c r="DHY29" s="51"/>
      <c r="DHZ29" s="51"/>
      <c r="DIA29" s="51"/>
      <c r="DIB29" s="66">
        <f t="shared" si="1709"/>
        <v>0</v>
      </c>
      <c r="DIC29" s="70">
        <f t="shared" si="1710"/>
        <v>0</v>
      </c>
      <c r="DID29" s="50"/>
      <c r="DIE29" s="51"/>
      <c r="DIF29" s="51"/>
      <c r="DIG29" s="51"/>
      <c r="DIH29" s="51"/>
      <c r="DII29" s="51"/>
      <c r="DIJ29" s="66">
        <f t="shared" si="1711"/>
        <v>0</v>
      </c>
      <c r="DIK29" s="210">
        <f t="shared" si="1712"/>
        <v>0</v>
      </c>
      <c r="DIL29" s="196"/>
      <c r="DIM29" s="197"/>
      <c r="DIN29" s="197"/>
      <c r="DIO29" s="197"/>
      <c r="DIP29" s="197"/>
      <c r="DIQ29" s="197"/>
      <c r="DIR29" s="246">
        <f t="shared" si="1713"/>
        <v>0</v>
      </c>
      <c r="DIS29" s="199">
        <f t="shared" si="1714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5"/>
        <v>0</v>
      </c>
      <c r="DJA29" s="70">
        <f t="shared" si="1716"/>
        <v>0</v>
      </c>
      <c r="DJB29" s="50"/>
      <c r="DJC29" s="51"/>
      <c r="DJD29" s="51"/>
      <c r="DJE29" s="51"/>
      <c r="DJF29" s="51"/>
      <c r="DJG29" s="51"/>
      <c r="DJH29" s="66">
        <f t="shared" si="2487"/>
        <v>0</v>
      </c>
      <c r="DJI29" s="70">
        <f t="shared" si="2488"/>
        <v>0</v>
      </c>
      <c r="DJJ29" s="50"/>
      <c r="DJK29" s="51"/>
      <c r="DJL29" s="51"/>
      <c r="DJM29" s="51"/>
      <c r="DJN29" s="51"/>
      <c r="DJO29" s="51"/>
      <c r="DJP29" s="66">
        <f t="shared" si="2489"/>
        <v>0</v>
      </c>
      <c r="DJQ29" s="70">
        <f t="shared" si="2490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91"/>
        <v>20</v>
      </c>
      <c r="DJY29" s="70">
        <f t="shared" si="2492"/>
        <v>3.3333333333333335</v>
      </c>
      <c r="DJZ29" s="50"/>
      <c r="DKA29" s="51"/>
      <c r="DKB29" s="51"/>
      <c r="DKC29" s="51"/>
      <c r="DKD29" s="51"/>
      <c r="DKE29" s="51"/>
      <c r="DKF29" s="66">
        <f t="shared" si="2493"/>
        <v>0</v>
      </c>
      <c r="DKG29" s="70">
        <f t="shared" si="2494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5"/>
        <v>50</v>
      </c>
      <c r="DKO29" s="70">
        <f t="shared" si="2496"/>
        <v>8.3333333333333339</v>
      </c>
      <c r="DKP29" s="50"/>
      <c r="DKQ29" s="51"/>
      <c r="DKR29" s="51"/>
      <c r="DKS29" s="51"/>
      <c r="DKT29" s="51"/>
      <c r="DKU29" s="51"/>
      <c r="DKV29" s="66">
        <f t="shared" si="2497"/>
        <v>0</v>
      </c>
      <c r="DKW29" s="210">
        <f t="shared" si="2498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9"/>
        <v>20</v>
      </c>
      <c r="DLE29" s="199">
        <f t="shared" si="2500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501"/>
        <v>0</v>
      </c>
      <c r="DLM29" s="70">
        <f t="shared" si="2502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503"/>
        <v>50</v>
      </c>
      <c r="DLU29" s="70">
        <f t="shared" si="2504"/>
        <v>8.3333333333333339</v>
      </c>
      <c r="DLV29" s="50"/>
      <c r="DLW29" s="51"/>
      <c r="DLX29" s="51"/>
      <c r="DLY29" s="51"/>
      <c r="DLZ29" s="51"/>
      <c r="DMA29" s="51"/>
      <c r="DMB29" s="66">
        <f t="shared" si="2505"/>
        <v>0</v>
      </c>
      <c r="DMC29" s="70">
        <f t="shared" si="2506"/>
        <v>0</v>
      </c>
      <c r="DMD29" s="50"/>
      <c r="DME29" s="51"/>
      <c r="DMF29" s="51"/>
      <c r="DMG29" s="51"/>
      <c r="DMH29" s="51"/>
      <c r="DMI29" s="51"/>
      <c r="DMJ29" s="66">
        <f t="shared" si="2507"/>
        <v>0</v>
      </c>
      <c r="DMK29" s="70">
        <f t="shared" si="2508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9"/>
        <v>50</v>
      </c>
      <c r="DMS29" s="70">
        <f t="shared" si="2510"/>
        <v>8.3333333333333339</v>
      </c>
      <c r="DMT29" s="50"/>
      <c r="DMU29" s="51"/>
      <c r="DMV29" s="51"/>
      <c r="DMW29" s="51"/>
      <c r="DMX29" s="51"/>
      <c r="DMY29" s="51"/>
      <c r="DMZ29" s="66">
        <f t="shared" si="2511"/>
        <v>0</v>
      </c>
      <c r="DNA29" s="70">
        <f t="shared" si="2512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13"/>
        <v>30</v>
      </c>
      <c r="DNI29" s="70">
        <f t="shared" si="2514"/>
        <v>5</v>
      </c>
      <c r="DNJ29" s="50"/>
      <c r="DNK29" s="51"/>
      <c r="DNL29" s="51"/>
      <c r="DNM29" s="51"/>
      <c r="DNN29" s="51"/>
      <c r="DNO29" s="51"/>
      <c r="DNP29" s="66">
        <f t="shared" si="2515"/>
        <v>0</v>
      </c>
      <c r="DNQ29" s="70">
        <f t="shared" si="2516"/>
        <v>0</v>
      </c>
      <c r="DNR29" s="50"/>
      <c r="DNS29" s="51"/>
      <c r="DNT29" s="51"/>
      <c r="DNU29" s="51"/>
      <c r="DNV29" s="51"/>
      <c r="DNW29" s="51"/>
      <c r="DNX29" s="66">
        <f t="shared" si="2517"/>
        <v>0</v>
      </c>
      <c r="DNY29" s="70">
        <f t="shared" si="2518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9"/>
        <v>50</v>
      </c>
      <c r="DOG29" s="70">
        <f t="shared" si="2520"/>
        <v>8.3333333333333339</v>
      </c>
      <c r="DOH29" s="50"/>
      <c r="DOI29" s="51"/>
      <c r="DOJ29" s="51"/>
      <c r="DOK29" s="51"/>
      <c r="DOL29" s="51"/>
      <c r="DOM29" s="51"/>
      <c r="DON29" s="66">
        <f t="shared" si="2521"/>
        <v>0</v>
      </c>
      <c r="DOO29" s="70">
        <f t="shared" si="2522"/>
        <v>0</v>
      </c>
      <c r="DOP29" s="50"/>
      <c r="DOQ29" s="51"/>
      <c r="DOR29" s="51"/>
      <c r="DOS29" s="51"/>
      <c r="DOT29" s="51"/>
      <c r="DOU29" s="51"/>
      <c r="DOV29" s="66">
        <f t="shared" si="2523"/>
        <v>0</v>
      </c>
      <c r="DOW29" s="70">
        <f t="shared" si="2524"/>
        <v>0</v>
      </c>
      <c r="DOX29" s="50"/>
      <c r="DOY29" s="51"/>
      <c r="DOZ29" s="51"/>
      <c r="DPA29" s="51"/>
      <c r="DPB29" s="51"/>
      <c r="DPC29" s="51"/>
      <c r="DPD29" s="66">
        <f t="shared" si="2525"/>
        <v>0</v>
      </c>
      <c r="DPE29" s="70">
        <f t="shared" si="2526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7"/>
        <v>50</v>
      </c>
      <c r="DPM29" s="70">
        <f t="shared" si="2528"/>
        <v>8.3333333333333339</v>
      </c>
      <c r="DPN29" s="50"/>
      <c r="DPO29" s="51"/>
      <c r="DPP29" s="51"/>
      <c r="DPQ29" s="51"/>
      <c r="DPR29" s="51"/>
      <c r="DPS29" s="51"/>
      <c r="DPT29" s="66">
        <f t="shared" si="2529"/>
        <v>0</v>
      </c>
      <c r="DPU29" s="70">
        <f t="shared" si="2530"/>
        <v>0</v>
      </c>
      <c r="DPV29" s="50"/>
      <c r="DPW29" s="51"/>
      <c r="DPX29" s="51"/>
      <c r="DPY29" s="51"/>
      <c r="DPZ29" s="51"/>
      <c r="DQA29" s="51"/>
      <c r="DQB29" s="66">
        <f t="shared" si="2531"/>
        <v>0</v>
      </c>
      <c r="DQC29" s="70">
        <f t="shared" si="2532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33"/>
        <v>30</v>
      </c>
      <c r="DQK29" s="70">
        <f t="shared" si="2534"/>
        <v>5</v>
      </c>
      <c r="DQL29" s="50"/>
      <c r="DQM29" s="51"/>
      <c r="DQN29" s="51"/>
      <c r="DQO29" s="51"/>
      <c r="DQP29" s="51"/>
      <c r="DQQ29" s="51"/>
      <c r="DQR29" s="66">
        <f t="shared" si="2535"/>
        <v>0</v>
      </c>
      <c r="DQS29" s="70">
        <f t="shared" si="2536"/>
        <v>0</v>
      </c>
      <c r="DQT29" s="50"/>
      <c r="DQU29" s="51"/>
      <c r="DQV29" s="51"/>
      <c r="DQW29" s="51"/>
      <c r="DQX29" s="51"/>
      <c r="DQY29" s="51"/>
      <c r="DQZ29" s="66">
        <f t="shared" si="2537"/>
        <v>0</v>
      </c>
      <c r="DRA29" s="70">
        <f t="shared" si="2538"/>
        <v>0</v>
      </c>
      <c r="DRB29" s="50"/>
      <c r="DRC29" s="51"/>
      <c r="DRD29" s="51"/>
      <c r="DRE29" s="51"/>
      <c r="DRF29" s="51"/>
      <c r="DRG29" s="51"/>
      <c r="DRH29" s="66">
        <f t="shared" si="2539"/>
        <v>0</v>
      </c>
      <c r="DRI29" s="70">
        <f t="shared" si="2540"/>
        <v>0</v>
      </c>
      <c r="DRJ29" s="50"/>
      <c r="DRK29" s="51"/>
      <c r="DRL29" s="51"/>
      <c r="DRM29" s="51"/>
      <c r="DRN29" s="51"/>
      <c r="DRO29" s="51"/>
      <c r="DRP29" s="66">
        <f t="shared" si="2541"/>
        <v>0</v>
      </c>
      <c r="DRQ29" s="70">
        <f t="shared" si="2542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43"/>
        <v>20</v>
      </c>
      <c r="DRY29" s="70">
        <f t="shared" si="2544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5"/>
        <v>50</v>
      </c>
      <c r="DSG29" s="70">
        <f t="shared" si="2546"/>
        <v>8.3333333333333339</v>
      </c>
      <c r="DSH29" s="50"/>
      <c r="DSI29" s="51"/>
      <c r="DSJ29" s="51"/>
      <c r="DSK29" s="51"/>
      <c r="DSL29" s="51"/>
      <c r="DSM29" s="51"/>
      <c r="DSN29" s="66">
        <f t="shared" si="2547"/>
        <v>0</v>
      </c>
      <c r="DSO29" s="70">
        <f t="shared" si="2548"/>
        <v>0</v>
      </c>
      <c r="DSP29" s="50"/>
      <c r="DSQ29" s="51"/>
      <c r="DSR29" s="51"/>
      <c r="DSS29" s="51"/>
      <c r="DST29" s="51"/>
      <c r="DSU29" s="51"/>
      <c r="DSV29" s="66">
        <f t="shared" si="2549"/>
        <v>0</v>
      </c>
      <c r="DSW29" s="70">
        <f t="shared" si="2550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51"/>
        <v>0</v>
      </c>
      <c r="DTE29" s="70">
        <f t="shared" si="2552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53"/>
        <v>0</v>
      </c>
      <c r="DTU29" s="68">
        <f t="shared" si="2554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5"/>
        <v>30</v>
      </c>
      <c r="DUC29" s="68">
        <f t="shared" si="2556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7"/>
        <v>51</v>
      </c>
      <c r="DUK29" s="68">
        <f t="shared" si="2558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9"/>
        <v>0</v>
      </c>
      <c r="DUS29" s="68">
        <f t="shared" si="2560"/>
        <v>0</v>
      </c>
      <c r="DUT29" s="48"/>
      <c r="DUU29" s="49"/>
      <c r="DUV29" s="49"/>
      <c r="DUW29" s="49"/>
      <c r="DUX29" s="49"/>
      <c r="DUY29" s="49"/>
      <c r="DUZ29" s="64">
        <f t="shared" si="2561"/>
        <v>0</v>
      </c>
      <c r="DVA29" s="68">
        <f t="shared" si="2562"/>
        <v>0</v>
      </c>
      <c r="DVB29" s="48"/>
      <c r="DVC29" s="49"/>
      <c r="DVD29" s="49"/>
      <c r="DVE29" s="49"/>
      <c r="DVF29" s="49"/>
      <c r="DVG29" s="49"/>
      <c r="DVH29" s="64">
        <f t="shared" si="2563"/>
        <v>0</v>
      </c>
      <c r="DVI29" s="68">
        <f t="shared" si="2564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5"/>
        <v>0</v>
      </c>
      <c r="DVQ29" s="70">
        <f t="shared" si="2566"/>
        <v>0</v>
      </c>
      <c r="DVR29" s="209"/>
      <c r="DVS29" s="200"/>
      <c r="DVT29" s="200"/>
      <c r="DVU29" s="200"/>
      <c r="DVV29" s="200"/>
      <c r="DVW29" s="200"/>
      <c r="DVX29" s="66">
        <f t="shared" si="2567"/>
        <v>0</v>
      </c>
      <c r="DVY29" s="70">
        <f t="shared" si="2568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9"/>
        <v>47</v>
      </c>
      <c r="DWG29" s="70">
        <f t="shared" si="2570"/>
        <v>7.833333333333333</v>
      </c>
      <c r="DWH29" s="50"/>
      <c r="DWI29" s="51"/>
      <c r="DWJ29" s="51"/>
      <c r="DWK29" s="51"/>
      <c r="DWL29" s="51"/>
      <c r="DWM29" s="51"/>
      <c r="DWN29" s="66">
        <f t="shared" si="2571"/>
        <v>0</v>
      </c>
      <c r="DWO29" s="70">
        <f t="shared" si="2572"/>
        <v>0</v>
      </c>
      <c r="DWP29" s="50"/>
      <c r="DWQ29" s="51"/>
      <c r="DWR29" s="51"/>
      <c r="DWS29" s="51"/>
      <c r="DWT29" s="51"/>
      <c r="DWU29" s="51"/>
      <c r="DWV29" s="66">
        <f t="shared" si="2573"/>
        <v>0</v>
      </c>
      <c r="DWW29" s="70">
        <f t="shared" si="2574"/>
        <v>0</v>
      </c>
      <c r="DWX29" s="50"/>
      <c r="DWY29" s="51"/>
      <c r="DWZ29" s="51"/>
      <c r="DXA29" s="51"/>
      <c r="DXB29" s="51"/>
      <c r="DXC29" s="51"/>
      <c r="DXD29" s="66">
        <f t="shared" si="2575"/>
        <v>0</v>
      </c>
      <c r="DXE29" s="70">
        <f t="shared" si="2576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7"/>
        <v>80</v>
      </c>
      <c r="DXM29" s="70">
        <f t="shared" si="2578"/>
        <v>13.333333333333334</v>
      </c>
      <c r="DXN29" s="50"/>
      <c r="DXO29" s="51"/>
      <c r="DXP29" s="51"/>
      <c r="DXQ29" s="51"/>
      <c r="DXR29" s="51"/>
      <c r="DXS29" s="51"/>
      <c r="DXT29" s="66">
        <f t="shared" si="2579"/>
        <v>0</v>
      </c>
      <c r="DXU29" s="210">
        <f t="shared" si="2580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81"/>
        <v>0</v>
      </c>
      <c r="DYD29" s="212">
        <f t="shared" si="2582"/>
        <v>0</v>
      </c>
      <c r="DYE29" s="196"/>
      <c r="DYF29" s="197"/>
      <c r="DYG29" s="197"/>
      <c r="DYH29" s="197"/>
      <c r="DYI29" s="197"/>
      <c r="DYJ29" s="197"/>
      <c r="DYK29" s="246">
        <f t="shared" si="2583"/>
        <v>0</v>
      </c>
      <c r="DYL29" s="212">
        <f t="shared" si="2584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5"/>
        <v>29</v>
      </c>
      <c r="DYT29" s="212">
        <f t="shared" si="2586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7"/>
        <v>0</v>
      </c>
      <c r="DZB29" s="212">
        <f t="shared" si="2588"/>
        <v>0</v>
      </c>
      <c r="DZC29" s="196"/>
      <c r="DZD29" s="197"/>
      <c r="DZE29" s="197"/>
      <c r="DZF29" s="197"/>
      <c r="DZG29" s="197"/>
      <c r="DZH29" s="197"/>
      <c r="DZI29" s="246">
        <f t="shared" si="2589"/>
        <v>0</v>
      </c>
      <c r="DZJ29" s="212">
        <f t="shared" si="2590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91"/>
        <v>31</v>
      </c>
      <c r="DZR29" s="212">
        <f t="shared" si="2592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93"/>
        <v>0</v>
      </c>
      <c r="DZZ29" s="212">
        <f t="shared" si="2594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5"/>
        <v>50</v>
      </c>
      <c r="EAH29" s="212">
        <f t="shared" si="2596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7"/>
        <v>30</v>
      </c>
      <c r="EAP29" s="212">
        <f t="shared" si="2598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9"/>
        <v>0</v>
      </c>
      <c r="EAY29" s="196"/>
      <c r="EAZ29" s="197"/>
      <c r="EBA29" s="197"/>
      <c r="EBB29" s="197"/>
      <c r="EBC29" s="197"/>
      <c r="EBD29" s="197"/>
      <c r="EBE29" s="246">
        <f t="shared" si="1774"/>
        <v>0</v>
      </c>
      <c r="EBF29" s="212">
        <f t="shared" si="1775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600"/>
        <v>62</v>
      </c>
      <c r="EBN29" s="212">
        <f t="shared" si="2601"/>
        <v>10.333333333333334</v>
      </c>
      <c r="EBO29" s="196"/>
      <c r="EBP29" s="197"/>
      <c r="EBQ29" s="197"/>
      <c r="EBR29" s="197"/>
      <c r="EBS29" s="197"/>
      <c r="EBT29" s="197"/>
      <c r="EBU29" s="246">
        <f t="shared" si="2602"/>
        <v>0</v>
      </c>
      <c r="EBV29" s="212">
        <f t="shared" si="2603"/>
        <v>0</v>
      </c>
      <c r="EBW29" s="196"/>
      <c r="EBX29" s="197"/>
      <c r="EBY29" s="197"/>
      <c r="EBZ29" s="197"/>
      <c r="ECA29" s="197"/>
      <c r="ECB29" s="197"/>
      <c r="ECC29" s="246">
        <f t="shared" si="2604"/>
        <v>0</v>
      </c>
      <c r="ECD29" s="212">
        <f t="shared" si="2605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6"/>
        <v>0</v>
      </c>
      <c r="ECL29" s="212">
        <f t="shared" si="2607"/>
        <v>0</v>
      </c>
      <c r="ECM29" s="196"/>
      <c r="ECN29" s="197"/>
      <c r="ECO29" s="197"/>
      <c r="ECP29" s="197"/>
      <c r="ECQ29" s="197"/>
      <c r="ECR29" s="197"/>
      <c r="ECS29" s="246">
        <f t="shared" si="2608"/>
        <v>0</v>
      </c>
      <c r="ECT29" s="212">
        <f t="shared" si="2609"/>
        <v>0</v>
      </c>
      <c r="ECU29" s="196"/>
      <c r="ECV29" s="197"/>
      <c r="ECW29" s="197"/>
      <c r="ECX29" s="197"/>
      <c r="ECY29" s="197"/>
      <c r="ECZ29" s="197"/>
      <c r="EDA29" s="246">
        <f t="shared" si="2610"/>
        <v>0</v>
      </c>
      <c r="EDB29" s="212">
        <f t="shared" si="2611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12"/>
        <v>50</v>
      </c>
      <c r="EDJ29" s="212">
        <f t="shared" si="2613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4"/>
        <v>0</v>
      </c>
      <c r="EDR29" s="212">
        <f t="shared" si="2615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6"/>
        <v>50</v>
      </c>
      <c r="EDZ29" s="211">
        <f t="shared" si="2617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8"/>
        <v>0</v>
      </c>
      <c r="EEH29" s="212">
        <f t="shared" si="2619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20"/>
        <v>50</v>
      </c>
      <c r="EEP29" s="212">
        <f t="shared" si="2621"/>
        <v>8.3333333333333339</v>
      </c>
      <c r="EEQ29" s="196"/>
      <c r="EER29" s="197"/>
      <c r="EES29" s="197"/>
      <c r="EET29" s="197"/>
      <c r="EEU29" s="197"/>
      <c r="EEV29" s="197"/>
      <c r="EEW29" s="246">
        <f t="shared" si="2622"/>
        <v>0</v>
      </c>
      <c r="EEX29" s="212">
        <f t="shared" si="2623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4"/>
        <v>0</v>
      </c>
      <c r="EFF29" s="707">
        <f t="shared" si="2625"/>
        <v>0</v>
      </c>
      <c r="EFG29" s="196"/>
      <c r="EFH29" s="197"/>
      <c r="EFI29" s="197"/>
      <c r="EFJ29" s="197"/>
      <c r="EFK29" s="197"/>
      <c r="EFL29" s="197"/>
      <c r="EFM29" s="246">
        <f t="shared" si="2626"/>
        <v>0</v>
      </c>
      <c r="EFN29" s="212">
        <f t="shared" si="2627"/>
        <v>0</v>
      </c>
      <c r="EFO29" s="459"/>
      <c r="EFP29" s="460"/>
      <c r="EFQ29" s="460"/>
      <c r="EFR29" s="460"/>
      <c r="EFS29" s="460"/>
      <c r="EFT29" s="460"/>
      <c r="EFU29" s="246">
        <f t="shared" si="2628"/>
        <v>0</v>
      </c>
      <c r="EFV29" s="212">
        <f t="shared" si="2629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30"/>
        <v>0</v>
      </c>
      <c r="EGD29" s="212">
        <f t="shared" si="2631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32"/>
        <v>79</v>
      </c>
      <c r="EGL29" s="212">
        <f t="shared" si="2633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4"/>
        <v>0</v>
      </c>
      <c r="EGT29" s="212">
        <f t="shared" si="2635"/>
        <v>0</v>
      </c>
      <c r="EGU29" s="196"/>
      <c r="EGV29" s="197"/>
      <c r="EGW29" s="197"/>
      <c r="EGX29" s="197"/>
      <c r="EGY29" s="197"/>
      <c r="EGZ29" s="197"/>
      <c r="EHA29" s="810">
        <f t="shared" si="2636"/>
        <v>0</v>
      </c>
      <c r="EHB29" s="212">
        <f t="shared" si="2637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8"/>
        <v>50</v>
      </c>
      <c r="EHJ29" s="212">
        <f t="shared" si="2639"/>
        <v>8.3333333333333339</v>
      </c>
      <c r="EHK29" s="196"/>
      <c r="EHL29" s="197"/>
      <c r="EHM29" s="197"/>
      <c r="EHN29" s="197"/>
      <c r="EHO29" s="197"/>
      <c r="EHP29" s="197"/>
      <c r="EHQ29" s="810">
        <f t="shared" si="2640"/>
        <v>0</v>
      </c>
      <c r="EHR29" s="212">
        <f t="shared" si="2641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42"/>
        <v>20</v>
      </c>
      <c r="EHZ29" s="212">
        <f t="shared" si="2643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4"/>
        <v>0</v>
      </c>
      <c r="EIH29" s="212">
        <f t="shared" si="2645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6"/>
        <v>49</v>
      </c>
      <c r="EIP29" s="212">
        <f t="shared" si="2647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8"/>
        <v>0</v>
      </c>
      <c r="EIX29" s="212">
        <f t="shared" si="2649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50"/>
        <v>80</v>
      </c>
      <c r="EJF29" s="212">
        <f t="shared" si="2651"/>
        <v>13.333333333333334</v>
      </c>
      <c r="EJG29" s="196"/>
      <c r="EJH29" s="197"/>
      <c r="EJI29" s="197"/>
      <c r="EJJ29" s="197"/>
      <c r="EJK29" s="197"/>
      <c r="EJL29" s="197"/>
      <c r="EJM29" s="810">
        <f t="shared" si="2652"/>
        <v>0</v>
      </c>
      <c r="EJN29" s="212">
        <f t="shared" si="2653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4"/>
        <v>30</v>
      </c>
      <c r="EJV29" s="212">
        <f t="shared" si="2655"/>
        <v>5</v>
      </c>
      <c r="EJW29" s="196"/>
      <c r="EJX29" s="197"/>
      <c r="EJY29" s="197"/>
      <c r="EJZ29" s="197"/>
      <c r="EKA29" s="197"/>
      <c r="EKB29" s="197"/>
      <c r="EKC29" s="810">
        <f t="shared" si="2656"/>
        <v>0</v>
      </c>
      <c r="EKD29" s="212">
        <f t="shared" si="2657"/>
        <v>0</v>
      </c>
      <c r="EKE29" s="196"/>
      <c r="EKF29" s="197"/>
      <c r="EKG29" s="197"/>
      <c r="EKH29" s="197"/>
      <c r="EKI29" s="197"/>
      <c r="EKJ29" s="197"/>
      <c r="EKK29" s="810">
        <f t="shared" si="2658"/>
        <v>0</v>
      </c>
      <c r="EKL29" s="212">
        <f t="shared" si="2659"/>
        <v>0</v>
      </c>
      <c r="EKM29" s="459"/>
      <c r="EKN29" s="460"/>
      <c r="EKO29" s="460"/>
      <c r="EKP29" s="460"/>
      <c r="EKQ29" s="460"/>
      <c r="EKR29" s="460"/>
      <c r="EKS29" s="810">
        <f t="shared" si="2660"/>
        <v>0</v>
      </c>
      <c r="EKT29" s="212">
        <f t="shared" si="2661"/>
        <v>0</v>
      </c>
      <c r="EKU29" s="196"/>
      <c r="EKV29" s="197"/>
      <c r="EKW29" s="197"/>
      <c r="EKX29" s="197"/>
      <c r="EKY29" s="197"/>
      <c r="EKZ29" s="197"/>
      <c r="ELA29" s="810">
        <f t="shared" si="2662"/>
        <v>0</v>
      </c>
      <c r="ELB29" s="212">
        <f t="shared" si="2663"/>
        <v>0</v>
      </c>
      <c r="ELC29" s="196"/>
      <c r="ELD29" s="197"/>
      <c r="ELE29" s="197"/>
      <c r="ELF29" s="197"/>
      <c r="ELG29" s="197"/>
      <c r="ELH29" s="197"/>
      <c r="ELI29" s="810">
        <f t="shared" si="2664"/>
        <v>0</v>
      </c>
      <c r="ELJ29" s="212">
        <f t="shared" si="2665"/>
        <v>0</v>
      </c>
      <c r="ELK29" s="196"/>
      <c r="ELL29" s="197"/>
      <c r="ELM29" s="197"/>
      <c r="ELN29" s="197"/>
      <c r="ELO29" s="197"/>
      <c r="ELP29" s="197"/>
      <c r="ELQ29" s="810">
        <f t="shared" si="2666"/>
        <v>0</v>
      </c>
      <c r="ELR29" s="212">
        <f t="shared" si="2667"/>
        <v>0</v>
      </c>
      <c r="ELS29" s="196"/>
      <c r="ELT29" s="197"/>
      <c r="ELU29" s="197"/>
      <c r="ELV29" s="197"/>
      <c r="ELW29" s="197"/>
      <c r="ELX29" s="197"/>
      <c r="ELY29" s="878">
        <f t="shared" si="2668"/>
        <v>0</v>
      </c>
      <c r="ELZ29" s="879">
        <f t="shared" si="2669"/>
        <v>0</v>
      </c>
      <c r="EMA29" s="196"/>
      <c r="EMB29" s="197"/>
      <c r="EMC29" s="197"/>
      <c r="EMD29" s="197"/>
      <c r="EME29" s="197"/>
      <c r="EMF29" s="197"/>
      <c r="EMG29" s="878">
        <f t="shared" si="2670"/>
        <v>0</v>
      </c>
      <c r="EMH29" s="879">
        <f t="shared" si="2671"/>
        <v>0</v>
      </c>
      <c r="EMI29" s="196"/>
      <c r="EMJ29" s="197"/>
      <c r="EMK29" s="197"/>
      <c r="EML29" s="197"/>
      <c r="EMM29" s="197"/>
      <c r="EMN29" s="197"/>
      <c r="EMO29" s="878">
        <f t="shared" si="2672"/>
        <v>0</v>
      </c>
      <c r="EMP29" s="879">
        <f t="shared" si="2673"/>
        <v>0</v>
      </c>
      <c r="EMQ29" s="196"/>
      <c r="EMR29" s="197"/>
      <c r="EMS29" s="197"/>
      <c r="EMT29" s="197"/>
      <c r="EMU29" s="197"/>
      <c r="EMV29" s="197"/>
      <c r="EMW29" s="878">
        <f t="shared" si="2674"/>
        <v>0</v>
      </c>
      <c r="EMX29" s="879">
        <f t="shared" si="2675"/>
        <v>0</v>
      </c>
      <c r="EMY29" s="196"/>
      <c r="EMZ29" s="197"/>
      <c r="ENA29" s="197"/>
      <c r="ENB29" s="197"/>
      <c r="ENC29" s="197"/>
      <c r="END29" s="197"/>
      <c r="ENE29" s="878">
        <f t="shared" si="2676"/>
        <v>0</v>
      </c>
      <c r="ENF29" s="879">
        <f t="shared" si="2677"/>
        <v>0</v>
      </c>
    </row>
    <row r="30" spans="1:3750" s="8" customFormat="1" ht="15" customHeight="1" thickBot="1" x14ac:dyDescent="0.25">
      <c r="A30" s="1017" t="s">
        <v>14</v>
      </c>
      <c r="B30" s="1018"/>
      <c r="C30" s="1018"/>
      <c r="D30" s="310">
        <v>25</v>
      </c>
      <c r="E30" s="311">
        <f t="shared" ref="E30:M30" si="2678">SUM(E25:E29)</f>
        <v>0</v>
      </c>
      <c r="F30" s="311">
        <f t="shared" si="2678"/>
        <v>4930</v>
      </c>
      <c r="G30" s="311">
        <f t="shared" si="2678"/>
        <v>0</v>
      </c>
      <c r="H30" s="311">
        <f t="shared" si="2678"/>
        <v>0</v>
      </c>
      <c r="I30" s="311">
        <f t="shared" si="2678"/>
        <v>0</v>
      </c>
      <c r="J30" s="311">
        <f t="shared" si="2678"/>
        <v>0</v>
      </c>
      <c r="K30" s="311">
        <f t="shared" si="2678"/>
        <v>0</v>
      </c>
      <c r="L30" s="311">
        <f t="shared" si="2678"/>
        <v>4930</v>
      </c>
      <c r="M30" s="311">
        <f t="shared" si="2678"/>
        <v>4930</v>
      </c>
      <c r="N30" s="311">
        <v>0</v>
      </c>
      <c r="O30" s="159">
        <f t="shared" ref="O30" si="2679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80">M30/R30</f>
        <v>152.5952380952381</v>
      </c>
      <c r="U30" s="314">
        <f>SUM(U25:U29)</f>
        <v>0</v>
      </c>
      <c r="V30" s="159">
        <f t="shared" ref="V30" si="2681">(U30+M30)/R30</f>
        <v>152.5952380952381</v>
      </c>
      <c r="W30" s="315">
        <f t="shared" si="1821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53"/>
        <v>0</v>
      </c>
      <c r="DTU30" s="70">
        <f t="shared" si="2554"/>
        <v>0</v>
      </c>
      <c r="DTV30" s="50"/>
      <c r="DTW30" s="51"/>
      <c r="DTX30" s="51"/>
      <c r="DTY30" s="51"/>
      <c r="DTZ30" s="51"/>
      <c r="DUA30" s="51"/>
      <c r="DUB30" s="66">
        <f t="shared" si="2555"/>
        <v>0</v>
      </c>
      <c r="DUC30" s="70">
        <f t="shared" si="2556"/>
        <v>0</v>
      </c>
      <c r="DUD30" s="50"/>
      <c r="DUE30" s="51"/>
      <c r="DUF30" s="51"/>
      <c r="DUG30" s="51"/>
      <c r="DUH30" s="51"/>
      <c r="DUI30" s="51"/>
      <c r="DUJ30" s="66">
        <f t="shared" si="2557"/>
        <v>0</v>
      </c>
      <c r="DUK30" s="70">
        <f t="shared" si="2558"/>
        <v>0</v>
      </c>
      <c r="DUL30" s="50"/>
      <c r="DUM30" s="51"/>
      <c r="DUN30" s="51"/>
      <c r="DUO30" s="51"/>
      <c r="DUP30" s="51"/>
      <c r="DUQ30" s="51"/>
      <c r="DUR30" s="66">
        <f t="shared" si="2559"/>
        <v>0</v>
      </c>
      <c r="DUS30" s="70">
        <f t="shared" si="2560"/>
        <v>0</v>
      </c>
      <c r="DUT30" s="50"/>
      <c r="DUU30" s="51"/>
      <c r="DUV30" s="51"/>
      <c r="DUW30" s="51"/>
      <c r="DUX30" s="51"/>
      <c r="DUY30" s="51"/>
      <c r="DUZ30" s="66">
        <f t="shared" si="2561"/>
        <v>0</v>
      </c>
      <c r="DVA30" s="70">
        <f t="shared" si="2562"/>
        <v>0</v>
      </c>
      <c r="DVB30" s="50"/>
      <c r="DVC30" s="51"/>
      <c r="DVD30" s="51"/>
      <c r="DVE30" s="51"/>
      <c r="DVF30" s="51"/>
      <c r="DVG30" s="51"/>
      <c r="DVH30" s="66">
        <f t="shared" si="2563"/>
        <v>0</v>
      </c>
      <c r="DVI30" s="70">
        <f t="shared" si="2564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  <c r="EMY30" s="1"/>
      <c r="EMZ30" s="1"/>
      <c r="ENA30" s="1"/>
      <c r="ENB30" s="1"/>
      <c r="ENC30" s="1"/>
      <c r="END30" s="1"/>
    </row>
    <row r="31" spans="1:3750" x14ac:dyDescent="0.2">
      <c r="A31" s="12" t="s">
        <v>25</v>
      </c>
      <c r="B31" s="12"/>
      <c r="C31" s="25"/>
      <c r="X31" s="2"/>
    </row>
    <row r="32" spans="1:3750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</mergeCells>
  <phoneticPr fontId="50" type="noConversion"/>
  <conditionalFormatting sqref="Q25:Q29 Q7:Q16">
    <cfRule type="cellIs" dxfId="24" priority="7" operator="greaterThan">
      <formula>25</formula>
    </cfRule>
    <cfRule type="cellIs" dxfId="23" priority="8" operator="lessThan">
      <formula>15</formula>
    </cfRule>
    <cfRule type="cellIs" dxfId="22" priority="9" operator="between">
      <formula>15</formula>
      <formula>25</formula>
    </cfRule>
  </conditionalFormatting>
  <conditionalFormatting sqref="T25:T29 T7:T16">
    <cfRule type="cellIs" dxfId="21" priority="13" operator="between">
      <formula>25</formula>
      <formula>27</formula>
    </cfRule>
    <cfRule type="cellIs" dxfId="20" priority="14" operator="lessThan">
      <formula>25</formula>
    </cfRule>
    <cfRule type="cellIs" dxfId="19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W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H19" sqref="H19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hidden="1" customWidth="1"/>
    <col min="4096" max="4097" width="6.7109375" style="1" hidden="1" customWidth="1"/>
    <col min="4098" max="4105" width="5.7109375" style="1" customWidth="1"/>
    <col min="4106" max="16384" width="9.140625" style="1"/>
  </cols>
  <sheetData>
    <row r="1" spans="1:4105" ht="18.75" x14ac:dyDescent="0.2">
      <c r="A1" s="979" t="s">
        <v>0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979"/>
      <c r="X1" s="979"/>
      <c r="Y1" s="979"/>
      <c r="Z1" s="979"/>
      <c r="AA1" s="979"/>
      <c r="AB1" s="979"/>
      <c r="AC1" s="23"/>
    </row>
    <row r="2" spans="1:4105" ht="18.75" x14ac:dyDescent="0.2">
      <c r="A2" s="979" t="s">
        <v>229</v>
      </c>
      <c r="B2" s="979"/>
      <c r="C2" s="979"/>
      <c r="D2" s="979"/>
      <c r="E2" s="979"/>
      <c r="F2" s="979"/>
      <c r="G2" s="979"/>
      <c r="H2" s="979"/>
      <c r="I2" s="979"/>
      <c r="J2" s="979"/>
      <c r="K2" s="979"/>
      <c r="L2" s="979"/>
      <c r="M2" s="979"/>
      <c r="N2" s="979"/>
      <c r="O2" s="979"/>
      <c r="P2" s="979"/>
      <c r="Q2" s="979"/>
      <c r="R2" s="979"/>
      <c r="S2" s="979"/>
      <c r="T2" s="979"/>
      <c r="U2" s="979"/>
      <c r="V2" s="979"/>
      <c r="W2" s="979"/>
      <c r="X2" s="979"/>
      <c r="Y2" s="20"/>
      <c r="Z2" s="20"/>
      <c r="AA2" s="20"/>
      <c r="AB2" s="20"/>
      <c r="AC2" s="23"/>
    </row>
    <row r="3" spans="1:4105" ht="18.75" customHeight="1" x14ac:dyDescent="0.2">
      <c r="A3" s="1030" t="s">
        <v>270</v>
      </c>
      <c r="B3" s="1030"/>
      <c r="C3" s="1030"/>
      <c r="D3" s="1030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27" t="str">
        <f>HIGRO!X8</f>
        <v>Date(Ngày): 14/05/2026</v>
      </c>
      <c r="X3" s="927"/>
      <c r="Y3" s="20"/>
      <c r="Z3" s="20"/>
      <c r="AB3" s="3"/>
      <c r="AC3" s="657"/>
    </row>
    <row r="4" spans="1:4105" s="5" customFormat="1" ht="22.5" customHeight="1" x14ac:dyDescent="0.2">
      <c r="A4" s="1031"/>
      <c r="B4" s="1031"/>
      <c r="C4" s="1031"/>
      <c r="D4" s="1031"/>
      <c r="E4" s="605"/>
      <c r="F4" s="605"/>
      <c r="G4" s="605"/>
      <c r="H4" s="605"/>
      <c r="I4" s="605"/>
      <c r="J4" s="605"/>
      <c r="K4" s="605"/>
      <c r="L4" s="605"/>
      <c r="M4" s="605"/>
      <c r="N4" s="1032" t="s">
        <v>252</v>
      </c>
      <c r="O4" s="1033"/>
      <c r="P4" s="1023" t="s">
        <v>255</v>
      </c>
      <c r="Q4" s="1024"/>
      <c r="R4" s="1024"/>
      <c r="S4" s="1024"/>
      <c r="T4" s="1024"/>
      <c r="U4" s="980" t="s">
        <v>260</v>
      </c>
      <c r="V4" s="983" t="s">
        <v>259</v>
      </c>
      <c r="W4" s="986" t="s">
        <v>261</v>
      </c>
      <c r="X4" s="989" t="s">
        <v>262</v>
      </c>
      <c r="Y4" s="991" t="s">
        <v>1</v>
      </c>
      <c r="Z4" s="992"/>
      <c r="AA4" s="992"/>
      <c r="AB4" s="993"/>
      <c r="AC4" s="978" t="s">
        <v>327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105" s="6" customFormat="1" ht="25.5" customHeight="1" thickBot="1" x14ac:dyDescent="0.25">
      <c r="A5" s="989" t="s">
        <v>248</v>
      </c>
      <c r="B5" s="983" t="s">
        <v>249</v>
      </c>
      <c r="C5" s="1001" t="s">
        <v>250</v>
      </c>
      <c r="D5" s="989" t="s">
        <v>251</v>
      </c>
      <c r="E5" s="919" t="s">
        <v>232</v>
      </c>
      <c r="F5" s="920"/>
      <c r="G5" s="917" t="s">
        <v>233</v>
      </c>
      <c r="H5" s="918"/>
      <c r="I5" s="917" t="s">
        <v>234</v>
      </c>
      <c r="J5" s="918"/>
      <c r="K5" s="908" t="s">
        <v>235</v>
      </c>
      <c r="L5" s="909"/>
      <c r="M5" s="910"/>
      <c r="N5" s="983" t="s">
        <v>254</v>
      </c>
      <c r="O5" s="983" t="s">
        <v>253</v>
      </c>
      <c r="P5" s="1025" t="s">
        <v>256</v>
      </c>
      <c r="Q5" s="1025" t="s">
        <v>253</v>
      </c>
      <c r="R5" s="1027" t="s">
        <v>257</v>
      </c>
      <c r="S5" s="228"/>
      <c r="T5" s="1029" t="s">
        <v>258</v>
      </c>
      <c r="U5" s="981"/>
      <c r="V5" s="984"/>
      <c r="W5" s="987"/>
      <c r="X5" s="990"/>
      <c r="Y5" s="994" t="s">
        <v>10</v>
      </c>
      <c r="Z5" s="994" t="s">
        <v>11</v>
      </c>
      <c r="AA5" s="994" t="s">
        <v>12</v>
      </c>
      <c r="AB5" s="994" t="s">
        <v>18</v>
      </c>
      <c r="AC5" s="978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  <c r="FAW5" s="44">
        <v>6</v>
      </c>
    </row>
    <row r="6" spans="1:4105" s="6" customFormat="1" ht="51.75" thickBot="1" x14ac:dyDescent="0.25">
      <c r="A6" s="990"/>
      <c r="B6" s="1003"/>
      <c r="C6" s="1002"/>
      <c r="D6" s="990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85"/>
      <c r="O6" s="985"/>
      <c r="P6" s="1026"/>
      <c r="Q6" s="1026"/>
      <c r="R6" s="1028"/>
      <c r="S6" s="228"/>
      <c r="T6" s="1029"/>
      <c r="U6" s="982"/>
      <c r="V6" s="985"/>
      <c r="W6" s="988"/>
      <c r="X6" s="990"/>
      <c r="Y6" s="1007"/>
      <c r="Z6" s="995"/>
      <c r="AA6" s="995"/>
      <c r="AB6" s="995"/>
      <c r="AC6" s="978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  <c r="FAP6" s="680">
        <v>12</v>
      </c>
      <c r="FAQ6" s="681">
        <v>13</v>
      </c>
      <c r="FAR6" s="681">
        <v>14</v>
      </c>
      <c r="FAS6" s="681">
        <v>15</v>
      </c>
      <c r="FAT6" s="681">
        <v>16</v>
      </c>
      <c r="FAU6" s="681">
        <v>17</v>
      </c>
      <c r="FAV6" s="874" t="s">
        <v>263</v>
      </c>
      <c r="FAW6" s="875" t="s">
        <v>264</v>
      </c>
    </row>
    <row r="7" spans="1:4105" s="8" customFormat="1" ht="15" customHeight="1" x14ac:dyDescent="0.2">
      <c r="A7" s="21">
        <v>1</v>
      </c>
      <c r="B7" s="21" t="s">
        <v>282</v>
      </c>
      <c r="C7" s="275" t="s">
        <v>280</v>
      </c>
      <c r="D7" s="21">
        <v>50</v>
      </c>
      <c r="E7" s="24">
        <v>0</v>
      </c>
      <c r="F7" s="24">
        <v>3511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3511</v>
      </c>
      <c r="M7" s="24">
        <f>K7+L7</f>
        <v>3511</v>
      </c>
      <c r="N7" s="15">
        <v>372.83333333333331</v>
      </c>
      <c r="O7" s="276">
        <f t="shared" ref="O7:O23" si="0">IF(N7=0,0,M7/N7)</f>
        <v>9.4170764416629424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30.428666666666665</v>
      </c>
      <c r="U7" s="278"/>
      <c r="V7" s="277">
        <f t="shared" ref="V7:V23" si="1">IF(R7=0,0,(M7+U7)/R7)</f>
        <v>30.428666666666665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>
        <v>0</v>
      </c>
      <c r="FAK7" s="684">
        <v>0</v>
      </c>
      <c r="FAL7" s="684">
        <v>1506</v>
      </c>
      <c r="FAM7" s="684">
        <v>0</v>
      </c>
      <c r="FAN7" s="876">
        <f t="shared" ref="FAN7" si="567">SUM(FAH7:FAM7)</f>
        <v>2237</v>
      </c>
      <c r="FAO7" s="877">
        <f>FAN7/$FAO$5</f>
        <v>372.83333333333331</v>
      </c>
      <c r="FAP7" s="683">
        <v>0</v>
      </c>
      <c r="FAQ7" s="684">
        <v>0</v>
      </c>
      <c r="FAR7" s="684"/>
      <c r="FAS7" s="684"/>
      <c r="FAT7" s="684"/>
      <c r="FAU7" s="684"/>
      <c r="FAV7" s="876">
        <f t="shared" ref="FAV7" si="568">SUM(FAP7:FAU7)</f>
        <v>0</v>
      </c>
      <c r="FAW7" s="877">
        <f>FAV7/$FAW$5</f>
        <v>0</v>
      </c>
    </row>
    <row r="8" spans="1:4105" s="8" customFormat="1" ht="15" customHeight="1" x14ac:dyDescent="0.2">
      <c r="A8" s="21">
        <v>2</v>
      </c>
      <c r="B8" s="21" t="s">
        <v>283</v>
      </c>
      <c r="C8" s="275" t="s">
        <v>281</v>
      </c>
      <c r="D8" s="21">
        <v>50</v>
      </c>
      <c r="E8" s="24">
        <v>0</v>
      </c>
      <c r="F8" s="24">
        <v>4625</v>
      </c>
      <c r="G8" s="24"/>
      <c r="H8" s="24"/>
      <c r="I8" s="24"/>
      <c r="J8" s="360">
        <f>SUMIF(SUMPK!$B:$B,$B:$B,SUMPK!$O:$O)</f>
        <v>918</v>
      </c>
      <c r="K8" s="24"/>
      <c r="L8" s="24">
        <f t="shared" ref="L8:L23" si="569">F8+H8-J8</f>
        <v>3707</v>
      </c>
      <c r="M8" s="24">
        <f t="shared" ref="M8:M23" si="570">K8+L8</f>
        <v>3707</v>
      </c>
      <c r="N8" s="15">
        <v>260</v>
      </c>
      <c r="O8" s="276">
        <f t="shared" si="0"/>
        <v>14.257692307692308</v>
      </c>
      <c r="P8" s="15">
        <v>0</v>
      </c>
      <c r="Q8" s="276">
        <f t="shared" ref="Q8:Q21" si="571">IF(P8=0,0,M8/P8*6)</f>
        <v>0</v>
      </c>
      <c r="R8" s="277">
        <f t="shared" ref="R8:R23" si="572">S8/$S$3</f>
        <v>184.61538461538461</v>
      </c>
      <c r="S8" s="222">
        <v>4800</v>
      </c>
      <c r="T8" s="276">
        <f t="shared" ref="T8:T23" si="573">IF(R8=0,0,M8/R8)</f>
        <v>20.079583333333332</v>
      </c>
      <c r="U8" s="278"/>
      <c r="V8" s="277">
        <f t="shared" si="1"/>
        <v>20.079583333333332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4">SUM(BAO8:BAT8)</f>
        <v>960</v>
      </c>
      <c r="BAV8" s="43">
        <f t="shared" ref="BAV8:BAV23" si="575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6">SUM(BAW8:BBB8)</f>
        <v>1671</v>
      </c>
      <c r="BBD8" s="43">
        <f t="shared" ref="BBD8:BBD23" si="577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8">SUM(BBE8:BBJ8)</f>
        <v>2432</v>
      </c>
      <c r="BBL8" s="43">
        <f t="shared" ref="BBL8:BBL23" si="579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80">SUM(BBM8:BBR8)</f>
        <v>1747</v>
      </c>
      <c r="BBT8" s="43">
        <f t="shared" ref="BBT8:BBT23" si="581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2">SUM(BBU8:BBZ8)</f>
        <v>265</v>
      </c>
      <c r="BCB8" s="43">
        <f t="shared" ref="BCB8:BCB23" si="583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4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5">SUM(BCK8:BCO8)</f>
        <v>3487</v>
      </c>
      <c r="BCR8" s="43">
        <f t="shared" ref="BCR8:BCR23" si="586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7">SUM(BCS8:BCW8)</f>
        <v>1213</v>
      </c>
      <c r="BCZ8" s="43">
        <f t="shared" ref="BCZ8:BCZ23" si="588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9">SUM(BDA8:BDE8)</f>
        <v>2632</v>
      </c>
      <c r="BDH8" s="43">
        <f t="shared" ref="BDH8:BDH23" si="590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1">SUM(BDI8:BDM8)</f>
        <v>2493</v>
      </c>
      <c r="BDP8" s="43">
        <f t="shared" ref="BDP8:BDP23" si="592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3">SUM(BDQ8:BDU8)</f>
        <v>44</v>
      </c>
      <c r="BDX8" s="43">
        <f t="shared" ref="BDX8:BDX23" si="594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5">SUM(BDY8:BEC8)</f>
        <v>2987</v>
      </c>
      <c r="BEF8" s="43">
        <f t="shared" ref="BEF8:BEF23" si="596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7">SUM(BEG8:BEK8)</f>
        <v>0</v>
      </c>
      <c r="BEN8" s="43">
        <f t="shared" ref="BEN8:BEN23" si="598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9">SUM(BEO8:BES8)</f>
        <v>204</v>
      </c>
      <c r="BEV8" s="43">
        <f t="shared" ref="BEV8:BEV23" si="600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1">SUM(BEW8:BFA8)</f>
        <v>1665</v>
      </c>
      <c r="BFD8" s="43">
        <f t="shared" ref="BFD8:BFD23" si="602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3">SUM(BFE8:BFI8)</f>
        <v>1977</v>
      </c>
      <c r="BFL8" s="68">
        <f t="shared" ref="BFL8:BFL23" si="604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5">SUM(BFM8:BFQ8)</f>
        <v>1207</v>
      </c>
      <c r="BFT8" s="68">
        <f t="shared" ref="BFT8:BFT23" si="606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7">SUM(BFU8:BFY8)</f>
        <v>310</v>
      </c>
      <c r="BGB8" s="68">
        <f t="shared" ref="BGB8:BGB23" si="608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9">SUM(BGC8:BGG8)</f>
        <v>93</v>
      </c>
      <c r="BGJ8" s="68">
        <f t="shared" ref="BGJ8:BGJ23" si="610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1">SUM(BGK8:BGO8)</f>
        <v>1966</v>
      </c>
      <c r="BGR8" s="68">
        <f t="shared" ref="BGR8:BGR23" si="612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3">SUM(BGS8:BGW8)</f>
        <v>1499</v>
      </c>
      <c r="BGZ8" s="68">
        <f t="shared" ref="BGZ8:BGZ23" si="614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5">SUM(BHA8:BHE8)</f>
        <v>2029</v>
      </c>
      <c r="BHH8" s="68">
        <f t="shared" ref="BHH8:BHH23" si="616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7">SUM(BHI8:BHM8)</f>
        <v>3029</v>
      </c>
      <c r="BHP8" s="184">
        <f t="shared" ref="BHP8:BHP23" si="618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9">SUM(BHQ8:BHU8)</f>
        <v>1991</v>
      </c>
      <c r="BHX8" s="211">
        <f t="shared" ref="BHX8:BHX23" si="620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1">SUM(BHY8:BIC8)</f>
        <v>0</v>
      </c>
      <c r="BIF8" s="184">
        <f t="shared" ref="BIF8:BIF23" si="622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3">SUM(BIG8:BIK8)</f>
        <v>904</v>
      </c>
      <c r="BIN8" s="184">
        <f t="shared" ref="BIN8:BIN23" si="624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5">SUM(BIO8:BIS8)</f>
        <v>1698</v>
      </c>
      <c r="BIV8" s="211">
        <f t="shared" ref="BIV8:BIV23" si="626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7">SUM(BIW8:BJA8)</f>
        <v>2503</v>
      </c>
      <c r="BJD8" s="211">
        <f t="shared" ref="BJD8:BJD23" si="628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9">SUM(BJE8:BJI8)</f>
        <v>1146</v>
      </c>
      <c r="BJL8" s="211">
        <f t="shared" ref="BJL8:BJL23" si="630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1">SUM(BJM8:BJQ8)</f>
        <v>2164</v>
      </c>
      <c r="BJT8" s="184">
        <f t="shared" ref="BJT8:BJT23" si="632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3">SUM(BJU8:BJY8)</f>
        <v>402</v>
      </c>
      <c r="BKB8" s="184">
        <f t="shared" ref="BKB8:BKB23" si="634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5">SUM(BKC8:BKG8)</f>
        <v>0</v>
      </c>
      <c r="BKJ8" s="184">
        <f t="shared" ref="BKJ8:BKJ23" si="636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7">SUM(BKK8:BKO8)</f>
        <v>2033</v>
      </c>
      <c r="BKR8" s="184">
        <f t="shared" ref="BKR8:BKR23" si="638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9">SUM(BKS8:BKW8)</f>
        <v>1957</v>
      </c>
      <c r="BKZ8" s="211">
        <f t="shared" ref="BKZ8:BKZ23" si="640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1">SUM(BLA8:BLE8)</f>
        <v>1662</v>
      </c>
      <c r="BLH8" s="211">
        <f t="shared" ref="BLH8:BLH23" si="642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3">SUM(BLI8:BLM8)</f>
        <v>0</v>
      </c>
      <c r="BLP8" s="184">
        <f t="shared" ref="BLP8:BLP23" si="644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5">SUM(BLQ8:BLU8)</f>
        <v>2467</v>
      </c>
      <c r="BLX8" s="184">
        <f t="shared" ref="BLX8:BLX23" si="646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7">SUM(BLY8:BMC8)</f>
        <v>1310</v>
      </c>
      <c r="BMF8" s="68">
        <f t="shared" ref="BMF8:BMF23" si="648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9">SUM(BMG8:BMK8)</f>
        <v>0</v>
      </c>
      <c r="BMN8" s="68">
        <f t="shared" ref="BMN8:BMN23" si="650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1">SUM(BMO8:BMS8)</f>
        <v>1067</v>
      </c>
      <c r="BMV8" s="68">
        <f t="shared" ref="BMV8:BMV23" si="652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3">SUM(BMW8:BNA8)</f>
        <v>116</v>
      </c>
      <c r="BND8" s="68">
        <f t="shared" ref="BND8:BND23" si="654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5">SUM(BNE8:BNI8)</f>
        <v>0</v>
      </c>
      <c r="BNL8" s="68">
        <f t="shared" ref="BNL8:BNL23" si="656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7">SUM(BNM8:BNQ8)</f>
        <v>1350</v>
      </c>
      <c r="BNT8" s="68">
        <f t="shared" ref="BNT8:BNT23" si="658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9">SUM(BNU8:BNY8)</f>
        <v>1123</v>
      </c>
      <c r="BOB8" s="184">
        <f t="shared" ref="BOB8:BOB23" si="660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1">SUM(BOC8:BOG8)</f>
        <v>938</v>
      </c>
      <c r="BOJ8" s="184">
        <f t="shared" ref="BOJ8:BOJ23" si="662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3">SUM(BOK8:BOO8)</f>
        <v>740</v>
      </c>
      <c r="BOR8" s="68">
        <f t="shared" ref="BOR8:BOR23" si="664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5">SUM(BOS8:BOW8)</f>
        <v>1644</v>
      </c>
      <c r="BOZ8" s="68">
        <f t="shared" ref="BOZ8:BOZ23" si="666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7">SUM(BPA8:BPE8)</f>
        <v>955</v>
      </c>
      <c r="BPH8" s="68">
        <f t="shared" ref="BPH8:BPH23" si="668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9">SUM(BPI8:BPM8)</f>
        <v>0</v>
      </c>
      <c r="BPP8" s="68">
        <f t="shared" ref="BPP8:BPP23" si="670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1">SUM(BPQ8:BPU8)</f>
        <v>1540</v>
      </c>
      <c r="BPX8" s="68">
        <f t="shared" ref="BPX8:BPX23" si="672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3">SUM(BPY8:BQC8)</f>
        <v>1390</v>
      </c>
      <c r="BQF8" s="68">
        <f t="shared" ref="BQF8:BQF23" si="674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5">SUM(BQG8:BQK8)</f>
        <v>1421</v>
      </c>
      <c r="BQN8" s="68">
        <f t="shared" ref="BQN8:BQN23" si="676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7">SUM(BQO8:BQS8)</f>
        <v>1628</v>
      </c>
      <c r="BQV8" s="68">
        <f t="shared" ref="BQV8:BQV23" si="678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9">SUM(BQW8:BRA8)</f>
        <v>1720</v>
      </c>
      <c r="BRD8" s="68">
        <f t="shared" ref="BRD8:BRD23" si="680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1">SUM(BRE8:BRI8)</f>
        <v>1967</v>
      </c>
      <c r="BRL8" s="68">
        <f t="shared" ref="BRL8:BRL23" si="682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3">SUM(BRM8:BRQ8)</f>
        <v>2030</v>
      </c>
      <c r="BRT8" s="68">
        <f t="shared" ref="BRT8:BRT23" si="684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5">SUM(BRU8:BRY8)</f>
        <v>2287</v>
      </c>
      <c r="BSB8" s="68">
        <f t="shared" ref="BSB8:BSB23" si="686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7">SUM(BSC8:BSG8)</f>
        <v>0</v>
      </c>
      <c r="BSJ8" s="68">
        <f t="shared" ref="BSJ8:BSJ23" si="688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9">SUM(BSK8:BSO8)</f>
        <v>0</v>
      </c>
      <c r="BSR8" s="68">
        <f t="shared" ref="BSR8:BSR23" si="690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1">SUM(BSS8:BSW8)</f>
        <v>1928</v>
      </c>
      <c r="BSZ8" s="68">
        <f t="shared" ref="BSZ8:BSZ23" si="692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3">SUM(BTA8:BTE8)</f>
        <v>253</v>
      </c>
      <c r="BTH8" s="68">
        <f t="shared" ref="BTH8:BTH23" si="694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5">SUM(BTI8:BTM8)</f>
        <v>925</v>
      </c>
      <c r="BTP8" s="68">
        <f t="shared" ref="BTP8:BTP23" si="696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7">SUM(BTQ8:BTU8)</f>
        <v>0</v>
      </c>
      <c r="BTX8" s="184">
        <f t="shared" ref="BTX8:BTX23" si="698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9">SUM(BTY8:BUC8)</f>
        <v>336</v>
      </c>
      <c r="BUF8" s="184">
        <f t="shared" ref="BUF8:BUF23" si="700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1">SUM(BUG8:BUK8)</f>
        <v>1758</v>
      </c>
      <c r="BUN8" s="211">
        <f t="shared" ref="BUN8:BUN23" si="702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3">SUM(BUO8:BUS8)</f>
        <v>168</v>
      </c>
      <c r="BUV8" s="211">
        <f t="shared" ref="BUV8:BUV23" si="704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5">SUM(BUW8:BVA8)</f>
        <v>483</v>
      </c>
      <c r="BVD8" s="211">
        <f t="shared" ref="BVD8:BVD23" si="706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7">SUM(BVE8:BVI8)</f>
        <v>4185</v>
      </c>
      <c r="BVL8" s="184">
        <f t="shared" ref="BVL8:BVL23" si="708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9">SUM(BVM8:BVQ8)</f>
        <v>1934</v>
      </c>
      <c r="BVT8" s="211">
        <f t="shared" ref="BVT8:BVT23" si="710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1">SUM(BVU8:BVY8)</f>
        <v>649</v>
      </c>
      <c r="BWB8" s="184">
        <f t="shared" ref="BWB8:BWB23" si="712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3">SUM(BWC8:BWG8)</f>
        <v>1937</v>
      </c>
      <c r="BWJ8" s="184">
        <f t="shared" ref="BWJ8:BWJ23" si="714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5">SUM(BWK8:BWO8)</f>
        <v>1508</v>
      </c>
      <c r="BWR8" s="211">
        <f t="shared" ref="BWR8:BWR23" si="716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7">SUM(BWS8:BWW8)</f>
        <v>1244</v>
      </c>
      <c r="BWZ8" s="211">
        <f t="shared" ref="BWZ8:BWZ23" si="718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9">SUM(BXA8:BXE8)</f>
        <v>1788</v>
      </c>
      <c r="BXH8" s="211">
        <f t="shared" ref="BXH8:BXH23" si="720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1">SUM(BXI8:BXM8)</f>
        <v>778</v>
      </c>
      <c r="BXP8" s="184">
        <f t="shared" ref="BXP8:BXP23" si="722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3">SUM(BXQ8:BXU8)</f>
        <v>1310</v>
      </c>
      <c r="BXX8" s="184">
        <f t="shared" ref="BXX8:BXX23" si="724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5">SUM(BXY8:BYC8)</f>
        <v>1668</v>
      </c>
      <c r="BYF8" s="211">
        <f t="shared" ref="BYF8:BYF23" si="726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7">SUM(BYG8:BYK8)</f>
        <v>1991</v>
      </c>
      <c r="BYN8" s="184">
        <f t="shared" ref="BYN8:BYN23" si="728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9">SUM(BYO8:BYS8)</f>
        <v>2779</v>
      </c>
      <c r="BYV8" s="211">
        <f t="shared" ref="BYV8:BYV23" si="730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1">SUM(BYW8:BZA8)</f>
        <v>1887</v>
      </c>
      <c r="BZD8" s="184">
        <f t="shared" ref="BZD8:BZD23" si="732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3">SUM(BZE8:BZI8)</f>
        <v>1306</v>
      </c>
      <c r="BZL8" s="184">
        <f t="shared" ref="BZL8:BZL23" si="734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5">SUM(BZM8:BZQ8)</f>
        <v>1669</v>
      </c>
      <c r="BZT8" s="68">
        <f t="shared" ref="BZT8:BZT23" si="736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7">SUM(BZU8:BZY8)</f>
        <v>1942</v>
      </c>
      <c r="CAB8" s="68">
        <f t="shared" ref="CAB8:CAB23" si="738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9">SUM(CAC8:CAG8)</f>
        <v>1969</v>
      </c>
      <c r="CAJ8" s="68">
        <f t="shared" ref="CAJ8:CAJ23" si="740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1">SUM(CAK8:CAP8)</f>
        <v>2333</v>
      </c>
      <c r="CAR8" s="184">
        <f t="shared" ref="CAR8:CAR23" si="742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3">SUM(CAS8:CAX8)</f>
        <v>564</v>
      </c>
      <c r="CAZ8" s="211">
        <f t="shared" ref="CAZ8:CAZ23" si="744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5">SUM(CBA8:CBF8)</f>
        <v>1668</v>
      </c>
      <c r="CBH8" s="211">
        <f t="shared" ref="CBH8:CBH23" si="746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7">SUM(CBI8:CBN8)</f>
        <v>0</v>
      </c>
      <c r="CBP8" s="184">
        <f t="shared" ref="CBP8:CBP23" si="748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9">SUM(CBQ8:CBV8)</f>
        <v>804</v>
      </c>
      <c r="CBX8" s="68">
        <f t="shared" ref="CBX8:CBX23" si="750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1">SUM(CBY8:CCD8)</f>
        <v>972</v>
      </c>
      <c r="CCF8" s="68">
        <f t="shared" ref="CCF8:CCF23" si="752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3">SUM(CCG8:CCL8)</f>
        <v>823</v>
      </c>
      <c r="CCN8" s="68">
        <f t="shared" ref="CCN8:CCN23" si="754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5">SUM(CCO8:CCT8)</f>
        <v>2250</v>
      </c>
      <c r="CCV8" s="68">
        <f t="shared" ref="CCV8:CCV23" si="756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7">SUM(CCW8:CDB8)</f>
        <v>962</v>
      </c>
      <c r="CDD8" s="68">
        <f t="shared" ref="CDD8:CDD23" si="758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9">SUM(CDE8:CDJ8)</f>
        <v>0</v>
      </c>
      <c r="CDL8" s="68">
        <f t="shared" ref="CDL8:CDL23" si="760">CDK8/$CDL$5</f>
        <v>0</v>
      </c>
      <c r="CDM8" s="63"/>
      <c r="CDN8" s="64"/>
      <c r="CDO8" s="64"/>
      <c r="CDP8" s="64"/>
      <c r="CDQ8" s="47"/>
      <c r="CDR8" s="64"/>
      <c r="CDS8" s="67">
        <f t="shared" ref="CDS8:CDS23" si="761">SUM(CDM8:CDR8)</f>
        <v>0</v>
      </c>
      <c r="CDT8" s="68">
        <f t="shared" ref="CDT8:CDT23" si="762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3">SUM(CDU8:CDZ8)</f>
        <v>2031</v>
      </c>
      <c r="CEB8" s="68">
        <f t="shared" ref="CEB8:CEB23" si="764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5">SUM(CEC8:CEH8)</f>
        <v>1635</v>
      </c>
      <c r="CEJ8" s="68">
        <f t="shared" ref="CEJ8:CEJ23" si="766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7">SUM(CEK8:CEP8)</f>
        <v>1469</v>
      </c>
      <c r="CER8" s="68">
        <f t="shared" ref="CER8:CER23" si="768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9">SUM(CES8:CEX8)</f>
        <v>1983</v>
      </c>
      <c r="CEZ8" s="68">
        <f t="shared" ref="CEZ8:CEZ23" si="770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1">SUM(CFA8:CFF8)</f>
        <v>1284</v>
      </c>
      <c r="CFH8" s="68">
        <f t="shared" ref="CFH8:CFH23" si="772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3">SUM(CFI8:CFN8)</f>
        <v>1643</v>
      </c>
      <c r="CFP8" s="68">
        <f t="shared" ref="CFP8:CFP23" si="774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5">SUM(CFQ8:CFV8)</f>
        <v>1643</v>
      </c>
      <c r="CFX8" s="68">
        <f t="shared" ref="CFX8:CFX23" si="776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7">SUM(CFY8:CGD8)</f>
        <v>1630</v>
      </c>
      <c r="CGF8" s="68">
        <f t="shared" ref="CGF8:CGF23" si="778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9">SUM(CGG8:CGL8)</f>
        <v>3564</v>
      </c>
      <c r="CGN8" s="68">
        <f t="shared" ref="CGN8:CGN23" si="780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1">SUM(CGO8:CGT8)</f>
        <v>1790</v>
      </c>
      <c r="CGV8" s="68">
        <f t="shared" ref="CGV8:CGV23" si="782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3">SUM(CGW8:CHB8)</f>
        <v>0</v>
      </c>
      <c r="CHD8" s="68">
        <f t="shared" ref="CHD8:CHD23" si="784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5">SUM(CHE8:CHJ8)</f>
        <v>1803</v>
      </c>
      <c r="CHL8" s="68">
        <f t="shared" ref="CHL8:CHL23" si="786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7">SUM(CHM8:CHR8)</f>
        <v>100</v>
      </c>
      <c r="CHT8" s="68">
        <f t="shared" ref="CHT8:CHT23" si="788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9">SUM(CHU8:CHZ8)</f>
        <v>1464</v>
      </c>
      <c r="CIB8" s="68">
        <f t="shared" ref="CIB8:CIB23" si="790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1">SUM(CIC8:CIH8)</f>
        <v>1651</v>
      </c>
      <c r="CIJ8" s="68">
        <f t="shared" ref="CIJ8:CIJ23" si="792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3">SUM(CIK8:CIP8)</f>
        <v>2458</v>
      </c>
      <c r="CIR8" s="68">
        <f t="shared" ref="CIR8:CIR23" si="794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5">SUM(CIS8:CIX8)</f>
        <v>3844</v>
      </c>
      <c r="CIZ8" s="68">
        <f t="shared" ref="CIZ8:CIZ23" si="796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7">SUM(CJA8:CJF8)</f>
        <v>1661</v>
      </c>
      <c r="CJH8" s="68">
        <f t="shared" ref="CJH8:CJH23" si="798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9">SUM(CJI8:CJN8)</f>
        <v>0</v>
      </c>
      <c r="CJP8" s="68">
        <f t="shared" ref="CJP8:CJP23" si="800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1">SUM(CJQ8:CJV8)</f>
        <v>1296</v>
      </c>
      <c r="CJX8" s="68">
        <f t="shared" ref="CJX8:CJX23" si="802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3">SUM(CJY8:CKD8)</f>
        <v>780</v>
      </c>
      <c r="CKF8" s="68">
        <f t="shared" ref="CKF8:CKF23" si="804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5">SUM(CKG8:CKL8)</f>
        <v>1610</v>
      </c>
      <c r="CKN8" s="68">
        <f t="shared" ref="CKN8:CKN23" si="806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7">SUM(CKO8:CKT8)</f>
        <v>4607</v>
      </c>
      <c r="CKV8" s="68">
        <f t="shared" ref="CKV8:CKV23" si="808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9">SUM(CKW8:CLB8)</f>
        <v>1</v>
      </c>
      <c r="CLD8" s="68">
        <f t="shared" ref="CLD8:CLD23" si="810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1">SUM(CLE8:CLJ8)</f>
        <v>1575</v>
      </c>
      <c r="CLL8" s="68">
        <f t="shared" ref="CLL8:CLL23" si="812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3">SUM(CLM8:CLR8)</f>
        <v>1636</v>
      </c>
      <c r="CLT8" s="184">
        <f t="shared" ref="CLT8:CLT23" si="814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5">SUM(CLU8:CLZ8)</f>
        <v>2457</v>
      </c>
      <c r="CMB8" s="68">
        <f t="shared" ref="CMB8:CMB23" si="816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7">SUM(CMC8:CMH8)</f>
        <v>1098</v>
      </c>
      <c r="CMJ8" s="68">
        <f t="shared" ref="CMJ8:CMJ23" si="818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9">SUM(CMK8:CMP8)</f>
        <v>2080</v>
      </c>
      <c r="CMR8" s="68">
        <f t="shared" ref="CMR8:CMR23" si="820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1">SUM(CMS8:CMX8)</f>
        <v>2385</v>
      </c>
      <c r="CMZ8" s="68">
        <f t="shared" ref="CMZ8:CMZ23" si="822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3">SUM(CNA8:CNF8)</f>
        <v>945</v>
      </c>
      <c r="CNH8" s="68">
        <f t="shared" ref="CNH8:CNH23" si="824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5">SUM(CNI8:CNN8)</f>
        <v>940</v>
      </c>
      <c r="CNP8" s="68">
        <f t="shared" ref="CNP8:CNP23" si="826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7">SUM(CNQ8:CNV8)</f>
        <v>1384</v>
      </c>
      <c r="CNX8" s="68">
        <f t="shared" ref="CNX8:CNX23" si="828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9">SUM(CNY8:COD8)</f>
        <v>1631</v>
      </c>
      <c r="COF8" s="68">
        <f t="shared" ref="COF8:COF23" si="830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1">SUM(COG8:COL8)</f>
        <v>3995</v>
      </c>
      <c r="CON8" s="68">
        <f t="shared" ref="CON8:CON23" si="832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3">SUM(COO8:COT8)</f>
        <v>0</v>
      </c>
      <c r="COV8" s="68">
        <f t="shared" ref="COV8:COV23" si="834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5">SUM(COW8:CPB8)</f>
        <v>3714</v>
      </c>
      <c r="CPD8" s="68">
        <f t="shared" ref="CPD8:CPD23" si="836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7">SUM(CPE8:CPJ8)</f>
        <v>0</v>
      </c>
      <c r="CPL8" s="68">
        <f t="shared" ref="CPL8:CPL23" si="838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9">SUM(CPM8:CPR8)</f>
        <v>4583</v>
      </c>
      <c r="CPT8" s="68">
        <f t="shared" ref="CPT8:CPT23" si="840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1">SUM(CPU8:CPZ8)</f>
        <v>3583</v>
      </c>
      <c r="CQB8" s="68">
        <f t="shared" ref="CQB8:CQB23" si="842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3">SUM(CQC8:CQH8)</f>
        <v>1408</v>
      </c>
      <c r="CQJ8" s="68">
        <f t="shared" ref="CQJ8:CQJ23" si="844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5">SUM(CQK8:CQP8)</f>
        <v>3247</v>
      </c>
      <c r="CQR8" s="68">
        <f t="shared" ref="CQR8:CQR23" si="846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918</v>
      </c>
      <c r="CQX8" s="49">
        <v>566</v>
      </c>
      <c r="CQY8" s="67">
        <f t="shared" ref="CQY8:CQY23" si="847">SUM(CQS8:CQX8)</f>
        <v>1921</v>
      </c>
      <c r="CQZ8" s="68">
        <f t="shared" ref="CQZ8:CQZ23" si="848">CQY8/$CQZ$5</f>
        <v>320.16666666666669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9">SUM(CRA8:CRF8)</f>
        <v>0</v>
      </c>
      <c r="CRH8" s="68">
        <f t="shared" ref="CRH8:CRH23" si="850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1">SUM(CRI8:CRN8)</f>
        <v>2298</v>
      </c>
      <c r="CRP8" s="68">
        <f t="shared" ref="CRP8:CRP23" si="852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3">SUM(CRQ8:CRV8)</f>
        <v>1108</v>
      </c>
      <c r="CRX8" s="68">
        <f t="shared" ref="CRX8:CRX23" si="854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5">SUM(CRY8:CSD8)</f>
        <v>2566</v>
      </c>
      <c r="CSF8" s="68">
        <f t="shared" ref="CSF8:CSF10" si="856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7">SUM(CSG8:CSL8)</f>
        <v>4123</v>
      </c>
      <c r="CSN8" s="68">
        <f t="shared" ref="CSN8:CSN23" si="858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9">SUM(CSO8:CST8)</f>
        <v>4258</v>
      </c>
      <c r="CSV8" s="68">
        <f t="shared" ref="CSV8:CSV23" si="860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1">SUM(CSW8:CTB8)</f>
        <v>2781</v>
      </c>
      <c r="CTD8" s="68">
        <f t="shared" ref="CTD8:CTD23" si="862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3">SUM(CTE8:CTJ8)</f>
        <v>1881</v>
      </c>
      <c r="CTL8" s="68">
        <f t="shared" ref="CTL8:CTL23" si="864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5">SUM(CTM8:CTR8)</f>
        <v>0</v>
      </c>
      <c r="CTT8" s="68">
        <f t="shared" ref="CTT8:CTT23" si="866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7">SUM(CTU8:CTZ8)</f>
        <v>777</v>
      </c>
      <c r="CUB8" s="68">
        <f t="shared" ref="CUB8:CUB23" si="868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9">SUM(CUC8:CUH8)</f>
        <v>89</v>
      </c>
      <c r="CUJ8" s="68">
        <f t="shared" ref="CUJ8:CUJ23" si="870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1">SUM(CUK8:CUP8)</f>
        <v>1921</v>
      </c>
      <c r="CUR8" s="68">
        <f t="shared" ref="CUR8:CUR23" si="872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3">SUM(CUS8:CUX8)</f>
        <v>2143</v>
      </c>
      <c r="CUZ8" s="68">
        <f t="shared" ref="CUZ8:CUZ23" si="874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5">SUM(CVA8:CVF8)</f>
        <v>3066</v>
      </c>
      <c r="CVH8" s="68">
        <f t="shared" ref="CVH8:CVH23" si="876">CVG8/$CVH$5</f>
        <v>511</v>
      </c>
      <c r="CVI8" s="48">
        <v>559</v>
      </c>
      <c r="CVJ8" s="49">
        <f>SUMIF(SUMPK!$B:$B,$B:$B,SUMPK!$O:$O)</f>
        <v>918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7">SUM(CVI8:CVN8)</f>
        <v>1477</v>
      </c>
      <c r="CVP8" s="68">
        <f t="shared" ref="CVP8:CVP23" si="878">CVO8/$CVP$5</f>
        <v>246.16666666666666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9">SUM(CVQ8:CVV8)</f>
        <v>2083</v>
      </c>
      <c r="CVX8" s="68">
        <f t="shared" ref="CVX8:CVX23" si="880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1">SUM(CVY8:CWD8)</f>
        <v>1411</v>
      </c>
      <c r="CWF8" s="68">
        <f t="shared" ref="CWF8:CWF23" si="882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3">SUM(CWG8:CWL8)</f>
        <v>952</v>
      </c>
      <c r="CWN8" s="68">
        <f t="shared" ref="CWN8:CWN23" si="884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5">SUM(CWO8:CWT8)</f>
        <v>1108</v>
      </c>
      <c r="CWV8" s="43">
        <f t="shared" ref="CWV8:CWV23" si="886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7">SUM(CWW8:CXB8)</f>
        <v>749</v>
      </c>
      <c r="CXD8" s="43">
        <f t="shared" ref="CXD8:CXD23" si="888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9">SUM(CXE8:CXJ8)</f>
        <v>1416</v>
      </c>
      <c r="CXL8" s="43">
        <f t="shared" ref="CXL8:CXL23" si="890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1">SUM(CXM8:CXR8)</f>
        <v>3025</v>
      </c>
      <c r="CXT8" s="43">
        <f t="shared" ref="CXT8:CXT23" si="892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3">SUM(CXU8:CXZ8)</f>
        <v>2427</v>
      </c>
      <c r="CYB8" s="43">
        <f t="shared" ref="CYB8:CYB23" si="894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5">SUM(CYC8:CYH8)</f>
        <v>2174</v>
      </c>
      <c r="CYJ8" s="43">
        <f t="shared" ref="CYJ8:CYJ23" si="896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7">SUM(CYK8:CYP8)</f>
        <v>3017</v>
      </c>
      <c r="CYR8" s="43">
        <f t="shared" ref="CYR8:CYR23" si="898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9">SUM(CYS8:CYX8)</f>
        <v>1684</v>
      </c>
      <c r="CYZ8" s="43">
        <f t="shared" ref="CYZ8:CYZ23" si="900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1">SUM(CZA8:CZF8)</f>
        <v>1301</v>
      </c>
      <c r="CZH8" s="43">
        <f t="shared" ref="CZH8:CZH23" si="902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3">SUM(CZI8:CZN8)</f>
        <v>810</v>
      </c>
      <c r="CZP8" s="43">
        <f t="shared" ref="CZP8:CZP23" si="904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5">SUM(CZQ8:CZV8)</f>
        <v>704</v>
      </c>
      <c r="CZX8" s="43">
        <f t="shared" ref="CZX8:CZX23" si="906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7">SUM(CZY8:DAD8)</f>
        <v>2967</v>
      </c>
      <c r="DAF8" s="43">
        <f t="shared" ref="DAF8:DAF23" si="908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9">SUM(DAG8:DAL8)</f>
        <v>1973</v>
      </c>
      <c r="DAN8" s="43">
        <f t="shared" ref="DAN8:DAN23" si="910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1">SUM(DAO8:DAT8)</f>
        <v>1239</v>
      </c>
      <c r="DAV8" s="68">
        <f t="shared" ref="DAV8:DAV23" si="912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3">SUM(DAW8:DBB8)</f>
        <v>3148</v>
      </c>
      <c r="DBD8" s="68">
        <f t="shared" ref="DBD8:DBD23" si="914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5">SUM(DBE8:DBJ8)</f>
        <v>825</v>
      </c>
      <c r="DBL8" s="68">
        <f t="shared" ref="DBL8:DBL23" si="916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7">SUM(DBM8:DBR8)</f>
        <v>1010</v>
      </c>
      <c r="DBT8" s="68">
        <f t="shared" ref="DBT8:DBT23" si="918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9">SUM(DBU8:DBZ8)</f>
        <v>0</v>
      </c>
      <c r="DCB8" s="184">
        <f t="shared" ref="DCB8:DCB23" si="920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1">SUM(DCC8:DCH8)</f>
        <v>659</v>
      </c>
      <c r="DCJ8" s="211">
        <f t="shared" ref="DCJ8:DCJ23" si="922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3">SUM(DCK8:DCP8)</f>
        <v>847</v>
      </c>
      <c r="DCR8" s="211">
        <f t="shared" ref="DCR8:DCR23" si="924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5">SUM(DCS8:DCX8)</f>
        <v>328</v>
      </c>
      <c r="DCZ8" s="184">
        <f t="shared" ref="DCZ8:DCZ23" si="926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7">SUM(DDA8:DDF8)</f>
        <v>2248</v>
      </c>
      <c r="DDH8" s="211">
        <f t="shared" ref="DDH8:DDH23" si="928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9">SUM(DDI8:DDN8)</f>
        <v>1015</v>
      </c>
      <c r="DDP8" s="184">
        <f t="shared" ref="DDP8:DDP23" si="930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1">SUM(DDQ8:DDV8)</f>
        <v>1359</v>
      </c>
      <c r="DDX8" s="211">
        <f t="shared" ref="DDX8:DDX23" si="932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3">SUM(DDY8:DED8)</f>
        <v>1639</v>
      </c>
      <c r="DEF8" s="214">
        <f t="shared" ref="DEF8:DEF23" si="934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5">SUM(DEG8:DEL8)</f>
        <v>1094</v>
      </c>
      <c r="DEN8" s="101">
        <f t="shared" ref="DEN8:DEN23" si="936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7">SUM(DEO8:DET8)</f>
        <v>1982</v>
      </c>
      <c r="DEV8" s="101">
        <f t="shared" ref="DEV8:DEV23" si="938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9">SUM(DEW8:DFB8)</f>
        <v>1739</v>
      </c>
      <c r="DFD8" s="43">
        <f t="shared" ref="DFD8:DFD23" si="940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1">SUM(DFE8:DFJ8)</f>
        <v>17</v>
      </c>
      <c r="DFL8" s="43">
        <f t="shared" ref="DFL8:DFL23" si="942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3">SUM(DFM8:DFR8)</f>
        <v>2034</v>
      </c>
      <c r="DFT8" s="43">
        <f t="shared" ref="DFT8:DFT23" si="944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5">SUM(DFU8:DFZ8)</f>
        <v>1698</v>
      </c>
      <c r="DGB8" s="43">
        <f t="shared" ref="DGB8:DGB23" si="946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7">SUM(DGC8:DGH8)</f>
        <v>1696</v>
      </c>
      <c r="DGJ8" s="68">
        <f t="shared" ref="DGJ8:DGJ23" si="948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9">SUM(DGK8:DGP8)</f>
        <v>1703</v>
      </c>
      <c r="DGR8" s="68">
        <f t="shared" ref="DGR8:DGR23" si="950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1">SUM(DGS8:DGX8)</f>
        <v>504</v>
      </c>
      <c r="DGZ8" s="68">
        <f t="shared" ref="DGZ8:DGZ23" si="952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3">SUM(DHA8:DHF8)</f>
        <v>1372</v>
      </c>
      <c r="DHH8" s="68">
        <f t="shared" ref="DHH8:DHH23" si="954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5">SUM(DHI8:DHN8)</f>
        <v>0</v>
      </c>
      <c r="DHP8" s="68">
        <f t="shared" ref="DHP8:DHP23" si="956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7">SUM(DHQ8:DHV8)</f>
        <v>1370</v>
      </c>
      <c r="DHX8" s="68">
        <f t="shared" ref="DHX8:DHX23" si="958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9">SUM(DHY8:DID8)</f>
        <v>108</v>
      </c>
      <c r="DIF8" s="68">
        <f t="shared" ref="DIF8:DIF23" si="960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1">SUM(DIG8:DIL8)</f>
        <v>855</v>
      </c>
      <c r="DIN8" s="68">
        <f t="shared" ref="DIN8:DIN23" si="962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3">SUM(DIO8:DIT8)</f>
        <v>2528</v>
      </c>
      <c r="DIV8" s="68">
        <f t="shared" ref="DIV8:DIV23" si="964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5">SUM(DIW8:DJB8)</f>
        <v>1684</v>
      </c>
      <c r="DJD8" s="68">
        <f t="shared" ref="DJD8:DJD23" si="966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7">SUM(DJE8:DJJ8)</f>
        <v>1713</v>
      </c>
      <c r="DJL8" s="68">
        <f t="shared" ref="DJL8:DJL23" si="968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9">SUM(DJM8:DJR8)</f>
        <v>1709</v>
      </c>
      <c r="DJT8" s="68">
        <f t="shared" ref="DJT8:DJT23" si="970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1">SUM(DJU8:DJZ8)</f>
        <v>1330</v>
      </c>
      <c r="DKB8" s="68">
        <f t="shared" ref="DKB8:DKB23" si="972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3">SUM(DKC8:DKH8)</f>
        <v>0</v>
      </c>
      <c r="DKJ8" s="68">
        <f t="shared" ref="DKJ8:DKJ23" si="974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5">SUM(DKK8:DKP8)</f>
        <v>1274</v>
      </c>
      <c r="DKR8" s="68">
        <f t="shared" ref="DKR8:DKR23" si="976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7">SUM(DKS8:DKX8)</f>
        <v>2071</v>
      </c>
      <c r="DKZ8" s="68">
        <f t="shared" ref="DKZ8:DKZ23" si="978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9">SUM(DLA8:DLF8)</f>
        <v>2533</v>
      </c>
      <c r="DLH8" s="68">
        <f t="shared" ref="DLH8:DLH23" si="980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1">SUM(DLI8:DLN8)</f>
        <v>498</v>
      </c>
      <c r="DLP8" s="68">
        <f t="shared" ref="DLP8:DLP23" si="982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3">SUM(DLQ8:DLV8)</f>
        <v>1170</v>
      </c>
      <c r="DLX8" s="68">
        <f t="shared" ref="DLX8:DLX23" si="984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5">SUM(DLY8:DMD8)</f>
        <v>1863</v>
      </c>
      <c r="DMF8" s="68">
        <f t="shared" ref="DMF8:DMF23" si="986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7">SUM(DMG8:DML8)</f>
        <v>974</v>
      </c>
      <c r="DMN8" s="68">
        <f t="shared" ref="DMN8:DMN23" si="988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9">SUM(DMO8:DMT8)</f>
        <v>1429</v>
      </c>
      <c r="DMV8" s="68">
        <f t="shared" ref="DMV8:DMV23" si="990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1">SUM(DMW8:DNB8)</f>
        <v>1278</v>
      </c>
      <c r="DND8" s="68">
        <f t="shared" ref="DND8:DND23" si="992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3">SUM(DNE8:DNJ8)</f>
        <v>1487</v>
      </c>
      <c r="DNL8" s="68">
        <f t="shared" ref="DNL8:DNL23" si="994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5">SUM(DNM8:DNR8)</f>
        <v>0</v>
      </c>
      <c r="DNT8" s="68">
        <f t="shared" ref="DNT8:DNT23" si="996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7">SUM(DNU8:DNZ8)</f>
        <v>2717</v>
      </c>
      <c r="DOB8" s="68">
        <f t="shared" ref="DOB8:DOB23" si="998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9">SUM(DOC8:DOH8)</f>
        <v>2059</v>
      </c>
      <c r="DOJ8" s="68">
        <f t="shared" ref="DOJ8:DOJ23" si="1000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1">SUM(DOK8:DOP8)</f>
        <v>1708</v>
      </c>
      <c r="DOR8" s="68">
        <f t="shared" ref="DOR8:DOR23" si="1002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3">SUM(DOS8:DOX8)</f>
        <v>1343</v>
      </c>
      <c r="DOZ8" s="68">
        <f t="shared" ref="DOZ8:DOZ23" si="1004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5">SUM(DPA8:DPF8)</f>
        <v>0</v>
      </c>
      <c r="DPH8" s="68">
        <f t="shared" ref="DPH8:DPH23" si="1006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7">SUM(DPI8:DPN8)</f>
        <v>1333</v>
      </c>
      <c r="DPP8" s="68">
        <f t="shared" ref="DPP8:DPP23" si="1008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9">SUM(DPQ8:DPV8)</f>
        <v>1654</v>
      </c>
      <c r="DPX8" s="68">
        <f t="shared" ref="DPX8:DPX23" si="1010">DPW8/$DPX$5</f>
        <v>275.66666666666669</v>
      </c>
      <c r="DPY8" s="63">
        <v>5</v>
      </c>
      <c r="DPZ8" s="64">
        <v>0</v>
      </c>
      <c r="DQA8" s="64">
        <f>SUMIF(SUMPK!$B:$B,$B:$B,SUMPK!$O:$O)</f>
        <v>918</v>
      </c>
      <c r="DQB8" s="64">
        <v>0</v>
      </c>
      <c r="DQC8" s="64">
        <v>0</v>
      </c>
      <c r="DQD8" s="64">
        <v>0</v>
      </c>
      <c r="DQE8" s="64">
        <f t="shared" ref="DQE8:DQE23" si="1011">SUM(DPY8:DQD8)</f>
        <v>923</v>
      </c>
      <c r="DQF8" s="68">
        <f t="shared" ref="DQF8:DQF23" si="1012">DQE8/$DQF$5</f>
        <v>153.83333333333334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3">SUM(DQG8:DQL8)</f>
        <v>1654</v>
      </c>
      <c r="DQN8" s="68">
        <f t="shared" ref="DQN8:DQN23" si="1014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5">SUM(DQO8:DQT8)</f>
        <v>1653</v>
      </c>
      <c r="DQV8" s="68">
        <f t="shared" ref="DQV8:DQV23" si="1016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7">SUM(DQW8:DRB8)</f>
        <v>0</v>
      </c>
      <c r="DRD8" s="68">
        <f t="shared" ref="DRD8:DRD23" si="1018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9">SUM(DRE8:DRJ8)</f>
        <v>474</v>
      </c>
      <c r="DRL8" s="68">
        <f t="shared" ref="DRL8:DRL23" si="1020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1">SUM(DRM8:DRR8)</f>
        <v>0</v>
      </c>
      <c r="DRT8" s="68">
        <f t="shared" ref="DRT8:DRT23" si="1022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3">SUM(DRU8:DRZ8)</f>
        <v>1317</v>
      </c>
      <c r="DSB8" s="68">
        <f t="shared" ref="DSB8:DSB23" si="1024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5">SUM(DSC8:DSH8)</f>
        <v>2652</v>
      </c>
      <c r="DSJ8" s="68">
        <f t="shared" ref="DSJ8:DSJ23" si="1026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7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8">SUM(DSS8:DSX8)</f>
        <v>970</v>
      </c>
      <c r="DSZ8" s="68">
        <f t="shared" ref="DSZ8:DSZ23" si="1029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30">SUM(DTA8:DTF8)</f>
        <v>778</v>
      </c>
      <c r="DTH8" s="68">
        <f t="shared" ref="DTH8:DTH23" si="1031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2">SUM(DTI8:DTN8)</f>
        <v>1028</v>
      </c>
      <c r="DTP8" s="68">
        <f t="shared" ref="DTP8:DTP23" si="1033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4">SUM(DTQ8:DTV8)</f>
        <v>2316</v>
      </c>
      <c r="DTX8" s="68">
        <f t="shared" ref="DTX8:DTX23" si="1035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6">SUM(DTY8:DUD8)</f>
        <v>2570</v>
      </c>
      <c r="DUF8" s="68">
        <f t="shared" ref="DUF8:DUF23" si="1037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8">SUM(DUG8:DUL8)</f>
        <v>1499</v>
      </c>
      <c r="DUN8" s="68">
        <f t="shared" ref="DUN8:DUN23" si="1039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40">SUM(DUO8:DUT8)</f>
        <v>1545</v>
      </c>
      <c r="DUV8" s="68">
        <f t="shared" ref="DUV8:DUV23" si="1041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2">SUM(DUW8:DVB8)</f>
        <v>1341</v>
      </c>
      <c r="DVD8" s="68">
        <f t="shared" ref="DVD8:DVD23" si="1043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4">SUM(DVE8:DVJ8)</f>
        <v>984</v>
      </c>
      <c r="DVL8" s="68">
        <f t="shared" ref="DVL8:DVL23" si="1045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6">SUM(DVM8:DVR8)</f>
        <v>1465</v>
      </c>
      <c r="DVT8" s="68">
        <f t="shared" ref="DVT8:DVT23" si="1047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8">SUM(DVU8:DVZ8)</f>
        <v>1006</v>
      </c>
      <c r="DWB8" s="68">
        <f t="shared" ref="DWB8:DWB23" si="1049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50">SUM(DWC8:DWH8)</f>
        <v>2419</v>
      </c>
      <c r="DWJ8" s="68">
        <f t="shared" ref="DWJ8:DWJ23" si="1051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2">SUM(DWK8:DWP8)</f>
        <v>2502</v>
      </c>
      <c r="DWR8" s="68">
        <f t="shared" ref="DWR8:DWR23" si="1053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4">SUM(DWS8:DWX8)</f>
        <v>542</v>
      </c>
      <c r="DWZ8" s="68">
        <f t="shared" ref="DWZ8:DWZ23" si="1055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6">SUM(DXA8:DXF8)</f>
        <v>929</v>
      </c>
      <c r="DXH8" s="68">
        <f t="shared" ref="DXH8:DXH23" si="1057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8">SUM(DXI8:DXN8)</f>
        <v>0</v>
      </c>
      <c r="DXP8" s="68">
        <f t="shared" ref="DXP8:DXP23" si="1059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60">SUM(DXQ8:DXV8)</f>
        <v>3201</v>
      </c>
      <c r="DXX8" s="68">
        <f t="shared" ref="DXX8:DXX23" si="1061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2">SUM(DXY8:DYD8)</f>
        <v>0</v>
      </c>
      <c r="DYF8" s="68">
        <f t="shared" ref="DYF8:DYF23" si="1063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4">SUM(DYG8:DYL8)</f>
        <v>3033</v>
      </c>
      <c r="DYN8" s="68">
        <f t="shared" ref="DYN8:DYN23" si="1065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6">SUM(DYO8:DYT8)</f>
        <v>0</v>
      </c>
      <c r="DYV8" s="68">
        <f t="shared" ref="DYV8:DYV23" si="1067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8">SUM(DYW8:DZB8)</f>
        <v>2106</v>
      </c>
      <c r="DZD8" s="68">
        <f t="shared" ref="DZD8:DZD23" si="1069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70">SUM(DZE8:DZJ8)</f>
        <v>2437</v>
      </c>
      <c r="DZL8" s="68">
        <f t="shared" ref="DZL8:DZL23" si="1071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2">SUM(DZM8:DZR8)</f>
        <v>1559</v>
      </c>
      <c r="DZT8" s="68">
        <f t="shared" ref="DZT8:DZT23" si="1073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4">SUM(DZU8:DZZ8)</f>
        <v>1695</v>
      </c>
      <c r="EAB8" s="68">
        <f t="shared" ref="EAB8:EAB23" si="1075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6">SUM(EAC8:EAH8)</f>
        <v>0</v>
      </c>
      <c r="EAJ8" s="68">
        <f t="shared" ref="EAJ8:EAJ23" si="1077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8">SUM(EAK8:EAP8)</f>
        <v>1953</v>
      </c>
      <c r="EAR8" s="68">
        <f t="shared" ref="EAR8:EAR23" si="1079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80">SUM(EAS8:EAX8)</f>
        <v>1497</v>
      </c>
      <c r="EAZ8" s="68">
        <f t="shared" ref="EAZ8:EAZ23" si="1081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2">SUM(EBA8:EBF8)</f>
        <v>1276</v>
      </c>
      <c r="EBH8" s="68">
        <f t="shared" ref="EBH8:EBH23" si="1083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4">SUM(EBI8:EBN8)</f>
        <v>1667</v>
      </c>
      <c r="EBP8" s="68">
        <f t="shared" ref="EBP8:EBP23" si="1085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6">SUM(EBQ8:EBV8)</f>
        <v>1449</v>
      </c>
      <c r="EBX8" s="68">
        <f t="shared" ref="EBX8:EBX23" si="1087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8">SUM(EBY8:ECD8)</f>
        <v>0</v>
      </c>
      <c r="ECF8" s="68">
        <f t="shared" ref="ECF8:ECF23" si="1089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90">SUM(ECG8:ECL8)</f>
        <v>2117</v>
      </c>
      <c r="ECN8" s="68">
        <f t="shared" ref="ECN8:ECN23" si="1091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2">SUM(ECO8:ECT8)</f>
        <v>956</v>
      </c>
      <c r="ECV8" s="68">
        <f t="shared" ref="ECV8:ECV23" si="1093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4">SUM(ECW8:EDB8)</f>
        <v>2290</v>
      </c>
      <c r="EDD8" s="68">
        <f t="shared" ref="EDD8:EDD23" si="1095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6">SUM(EDE8:EDJ8)</f>
        <v>1657</v>
      </c>
      <c r="EDL8" s="68">
        <f t="shared" ref="EDL8:EDL23" si="1097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8">SUM(EDM8:EDR8)</f>
        <v>1654</v>
      </c>
      <c r="EDT8" s="68">
        <f t="shared" ref="EDT8:EDT23" si="1099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100">SUM(EDU8:EDZ8)</f>
        <v>1954</v>
      </c>
      <c r="EEB8" s="68">
        <f t="shared" ref="EEB8:EEB23" si="1101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2">SUM(EEC8:EEH8)</f>
        <v>1234</v>
      </c>
      <c r="EEJ8" s="68">
        <f t="shared" ref="EEJ8:EEJ23" si="1103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4">SUM(EEK8:EEP8)</f>
        <v>797</v>
      </c>
      <c r="EER8" s="68">
        <f t="shared" ref="EER8:EER23" si="1105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6">SUM(EES8:EEX8)</f>
        <v>1919</v>
      </c>
      <c r="EEZ8" s="68">
        <f t="shared" ref="EEZ8:EEZ23" si="1107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8">SUM(EFA8:EFF8)</f>
        <v>1500</v>
      </c>
      <c r="EFH8" s="68">
        <f t="shared" ref="EFH8:EFH23" si="1109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10">SUM(EFI8:EFN8)</f>
        <v>969</v>
      </c>
      <c r="EFP8" s="68">
        <f t="shared" ref="EFP8:EFP23" si="1111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2">SUM(EFQ8:EFV8)</f>
        <v>983</v>
      </c>
      <c r="EFX8" s="68">
        <f t="shared" ref="EFX8:EFX23" si="1113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4">SUM(EFY8:EGD8)</f>
        <v>2480</v>
      </c>
      <c r="EGF8" s="68">
        <f t="shared" ref="EGF8:EGF23" si="1115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6">SUM(EGG8:EGL8)</f>
        <v>2297</v>
      </c>
      <c r="EGN8" s="68">
        <f t="shared" ref="EGN8:EGN23" si="1117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8">SUM(EGO8:EGT8)</f>
        <v>268</v>
      </c>
      <c r="EGV8" s="68">
        <f t="shared" ref="EGV8:EGV23" si="1119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20">SUM(EGW8:EHB8)</f>
        <v>820</v>
      </c>
      <c r="EHD8" s="68">
        <f t="shared" ref="EHD8:EHD23" si="1121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2">SUM(EHE8:EHJ8)</f>
        <v>2390</v>
      </c>
      <c r="EHL8" s="68">
        <f t="shared" ref="EHL8:EHL23" si="1123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4">SUM(EHM8:EHR8)</f>
        <v>1290</v>
      </c>
      <c r="EHT8" s="68">
        <f t="shared" ref="EHT8:EHT23" si="1125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6">SUM(EHU8:EHZ8)</f>
        <v>1454</v>
      </c>
      <c r="EIB8" s="68">
        <f t="shared" ref="EIB8:EIB23" si="1127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8">SUM(EIC8:EIH8)</f>
        <v>990</v>
      </c>
      <c r="EIJ8" s="68">
        <f t="shared" ref="EIJ8:EIJ23" si="1129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30">SUM(EIK8:EIP8)</f>
        <v>1149</v>
      </c>
      <c r="EIR8" s="68">
        <f t="shared" ref="EIR8:EIR23" si="1131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2">SUM(EIS8:EIX8)</f>
        <v>1500</v>
      </c>
      <c r="EIZ8" s="68">
        <f t="shared" ref="EIZ8:EIZ23" si="1133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4">SUM(EJA8:EJF8)</f>
        <v>1768</v>
      </c>
      <c r="EJH8" s="68">
        <f t="shared" ref="EJH8:EJH23" si="1135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6">SUM(EJI8:EJN8)</f>
        <v>1425</v>
      </c>
      <c r="EJP8" s="68">
        <f t="shared" ref="EJP8:EJP23" si="1137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8">SUM(EJQ8:EJV8)</f>
        <v>2308</v>
      </c>
      <c r="EJX8" s="68">
        <f t="shared" ref="EJX8:EJX23" si="1139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40">SUM(EJY8:EKD8)</f>
        <v>1676</v>
      </c>
      <c r="EKF8" s="68">
        <f t="shared" ref="EKF8:EKF23" si="1141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2">SUM(EKG8:EKL8)</f>
        <v>1443</v>
      </c>
      <c r="EKN8" s="68">
        <f t="shared" ref="EKN8:EKN23" si="1143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4">SUM(EKO8:EKT8)</f>
        <v>1296</v>
      </c>
      <c r="EKV8" s="68">
        <f t="shared" ref="EKV8:EKV23" si="1145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6">SUM(EKW8:ELB8)</f>
        <v>0</v>
      </c>
      <c r="ELD8" s="68">
        <f t="shared" ref="ELD8:ELD23" si="1147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8">SUM(ELE8:ELJ8)</f>
        <v>761</v>
      </c>
      <c r="ELL8" s="184">
        <f t="shared" ref="ELL8:ELL23" si="1149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50">SUM(ELN8:ELS8)</f>
        <v>3100</v>
      </c>
      <c r="ELU8" s="211">
        <f t="shared" ref="ELU8:ELU23" si="1151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2">SUM(ELV8:EMA8)</f>
        <v>1495</v>
      </c>
      <c r="EMC8" s="211">
        <f t="shared" ref="EMC8:EMC23" si="1153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4">SUM(EMD8:EMI8)</f>
        <v>1462</v>
      </c>
      <c r="EMK8" s="211">
        <f t="shared" ref="EMK8:EMK23" si="1155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6">SUM(EML8:EMQ8)</f>
        <v>2138</v>
      </c>
      <c r="EMS8" s="211">
        <f t="shared" ref="EMS8:EMS23" si="1157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8">SUM(EMT8:EMY8)</f>
        <v>0</v>
      </c>
      <c r="ENA8" s="211">
        <f t="shared" ref="ENA8:ENA23" si="1159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60">SUM(ENB8:ENG8)</f>
        <v>3110</v>
      </c>
      <c r="ENI8" s="211">
        <f t="shared" ref="ENI8:ENI23" si="1161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2">SUM(ENJ8:ENO8)</f>
        <v>0</v>
      </c>
      <c r="ENQ8" s="211">
        <f t="shared" ref="ENQ8:ENQ23" si="1163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4">SUM(ENR8:ENW8)</f>
        <v>1661</v>
      </c>
      <c r="ENY8" s="211">
        <f t="shared" ref="ENY8:ENY23" si="1165">ENX8/$ENY$5</f>
        <v>276.83333333333331</v>
      </c>
      <c r="ENZ8" s="244">
        <f>SUMIF(SUMPK!$B:$B,$B:$B,SUMPK!$O:$O)</f>
        <v>918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6">SUM(ENZ8:EOE8)</f>
        <v>2860</v>
      </c>
      <c r="EOG8" s="211">
        <f t="shared" ref="EOG8:EOG23" si="1167">EOF8/$EOG$5</f>
        <v>476.66666666666669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8">SUM(EOH8:EOM8)</f>
        <v>1280</v>
      </c>
      <c r="EOO8" s="211">
        <f t="shared" ref="EOO8:EOO23" si="1169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70">SUM(EOP8:EOU8)</f>
        <v>1255</v>
      </c>
      <c r="EOW8" s="211">
        <f t="shared" ref="EOW8:EOW23" si="1171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2">SUM(EOX8:EPC8)</f>
        <v>1374</v>
      </c>
      <c r="EPE8" s="211">
        <f t="shared" ref="EPE8:EPE23" si="1173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4">SUM(EPF8:EPK8)</f>
        <v>779</v>
      </c>
      <c r="EPM8" s="211">
        <f t="shared" ref="EPM8:EPM23" si="1175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6">SUM(EPN8:EPS8)</f>
        <v>2384</v>
      </c>
      <c r="EPU8" s="211">
        <f t="shared" ref="EPU8:EPU23" si="1177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8">SUM(EPV8:EQA8)</f>
        <v>1391</v>
      </c>
      <c r="EQC8" s="211">
        <f t="shared" ref="EQC8:EQC23" si="1179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80">SUM(EQD8:EQI8)</f>
        <v>635</v>
      </c>
      <c r="EQK8" s="211">
        <f t="shared" ref="EQK8:EQK23" si="1181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2">SUM(EQL8:EQQ8)</f>
        <v>599</v>
      </c>
      <c r="EQS8" s="211">
        <f t="shared" ref="EQS8:EQS23" si="1183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4">SUM(EQT8:EQY8)</f>
        <v>1017</v>
      </c>
      <c r="ERA8" s="211">
        <f t="shared" ref="ERA8:ERA23" si="1185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6">SUM(ERB8:ERG8)</f>
        <v>1252</v>
      </c>
      <c r="ERI8" s="211">
        <f t="shared" ref="ERI8:ERI23" si="1187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8">SUM(ERJ8:ERO8)</f>
        <v>2174</v>
      </c>
      <c r="ERQ8" s="211">
        <f t="shared" ref="ERQ8:ERQ23" si="1189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90">SUM(ERR8:ERW8)</f>
        <v>973</v>
      </c>
      <c r="ERY8" s="211">
        <f t="shared" ref="ERY8:ERY23" si="1191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2">SUM(ERZ8:ESE8)</f>
        <v>2404</v>
      </c>
      <c r="ESG8" s="211">
        <f t="shared" ref="ESG8:ESG23" si="1193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4">SUM(ESH8:ESM8)</f>
        <v>779</v>
      </c>
      <c r="ESO8" s="211">
        <f t="shared" ref="ESO8:ESO23" si="1195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6">SUM(ESP8:ESU8)</f>
        <v>2318</v>
      </c>
      <c r="ESW8" s="211">
        <f t="shared" ref="ESW8:ESW23" si="1197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8">SUM(ESX8:ETC8)</f>
        <v>2146</v>
      </c>
      <c r="ETE8" s="736">
        <f t="shared" ref="ETE8:ETE23" si="1199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200">SUM(ETF8:ETK8)</f>
        <v>1327</v>
      </c>
      <c r="ETM8" s="211">
        <f t="shared" ref="ETM8:ETM23" si="1201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2">SUM(ETN8:ETS8)</f>
        <v>1753</v>
      </c>
      <c r="ETU8" s="211">
        <f t="shared" ref="ETU8:ETU23" si="1203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4">SUM(ETV8:EUA8)</f>
        <v>2611</v>
      </c>
      <c r="EUC8" s="211">
        <f t="shared" ref="EUC8:EUC23" si="1205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6">SUM(EUD8:EUI8)</f>
        <v>1117</v>
      </c>
      <c r="EUK8" s="211">
        <f t="shared" ref="EUK8:EUK23" si="1207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8">SUM(EUL8:EUQ8)</f>
        <v>1281</v>
      </c>
      <c r="EUS8" s="211">
        <f t="shared" ref="EUS8:EUS23" si="1209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10">SUM(EUT8:EUY8)</f>
        <v>0</v>
      </c>
      <c r="EVA8" s="211">
        <f t="shared" ref="EVA8:EVA23" si="1211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2">SUM(EVB8:EVG8)</f>
        <v>1407</v>
      </c>
      <c r="EVI8" s="211">
        <f t="shared" ref="EVI8:EVI23" si="1213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4">SUM(EVJ8:EVO8)</f>
        <v>736</v>
      </c>
      <c r="EVQ8" s="211">
        <f t="shared" ref="EVQ8:EVQ23" si="1215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6">SUM(EVR8:EVW8)</f>
        <v>962</v>
      </c>
      <c r="EVY8" s="211">
        <f t="shared" ref="EVY8:EVY23" si="1217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8">SUM(EVZ8:EWE8)</f>
        <v>989</v>
      </c>
      <c r="EWG8" s="211">
        <f t="shared" ref="EWG8:EWG23" si="1219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20">SUM(EWH8:EWM8)</f>
        <v>2329</v>
      </c>
      <c r="EWO8" s="211">
        <f t="shared" ref="EWO8:EWO23" si="1221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2">SUM(EWP8:EWU8)</f>
        <v>1485</v>
      </c>
      <c r="EWW8" s="211">
        <f t="shared" ref="EWW8:EWW23" si="1223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4">SUM(EWX8:EXC8)</f>
        <v>0</v>
      </c>
      <c r="EXE8" s="211">
        <f t="shared" ref="EXE8:EXE23" si="1225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6">SUM(EXF8:EXK8)</f>
        <v>1893</v>
      </c>
      <c r="EXM8" s="211">
        <f t="shared" ref="EXM8:EXM23" si="1227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8">SUM(EXN8:EXS8)</f>
        <v>0</v>
      </c>
      <c r="EXU8" s="211">
        <f t="shared" ref="EXU8:EXU23" si="1229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30">SUM(EXV8:EYA8)</f>
        <v>1472</v>
      </c>
      <c r="EYC8" s="211">
        <f t="shared" ref="EYC8:EYC23" si="1231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2">SUM(EYD8:EYI8)</f>
        <v>1306</v>
      </c>
      <c r="EYK8" s="211">
        <f t="shared" ref="EYK8:EYK23" si="1233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4">SUM(EYL8:EYQ8)</f>
        <v>977</v>
      </c>
      <c r="EYS8" s="211">
        <f t="shared" ref="EYS8:EYS23" si="1235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6">SUM(EYT8:EYY8)</f>
        <v>798</v>
      </c>
      <c r="EZA8" s="211">
        <f t="shared" ref="EZA8:EZA23" si="1237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8">SUM(EZB8:EZG8)</f>
        <v>0</v>
      </c>
      <c r="EZI8" s="211">
        <f t="shared" ref="EZI8:EZI23" si="1239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40">SUM(EZJ8:EZO8)</f>
        <v>2263</v>
      </c>
      <c r="EZQ8" s="873">
        <f t="shared" ref="EZQ8:EZQ23" si="1241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2">SUM(EZR8:EZW8)</f>
        <v>941</v>
      </c>
      <c r="EZY8" s="873">
        <f t="shared" ref="EZY8:EZY23" si="1243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4">SUM(EZZ8:FAE8)</f>
        <v>0</v>
      </c>
      <c r="FAG8" s="873">
        <f t="shared" ref="FAG8:FAG23" si="1245">FAF8/$FAG$5</f>
        <v>0</v>
      </c>
      <c r="FAH8" s="195">
        <v>622</v>
      </c>
      <c r="FAI8" s="49">
        <v>0</v>
      </c>
      <c r="FAJ8" s="49">
        <v>0</v>
      </c>
      <c r="FAK8" s="49">
        <v>0</v>
      </c>
      <c r="FAL8" s="49">
        <v>938</v>
      </c>
      <c r="FAM8" s="49">
        <v>0</v>
      </c>
      <c r="FAN8" s="872">
        <f t="shared" ref="FAN8:FAN23" si="1246">SUM(FAH8:FAM8)</f>
        <v>1560</v>
      </c>
      <c r="FAO8" s="873">
        <f t="shared" ref="FAO8:FAO23" si="1247">FAN8/$FAO$5</f>
        <v>260</v>
      </c>
      <c r="FAP8" s="195">
        <v>0</v>
      </c>
      <c r="FAQ8" s="49">
        <v>0</v>
      </c>
      <c r="FAR8" s="49"/>
      <c r="FAS8" s="49"/>
      <c r="FAT8" s="49"/>
      <c r="FAU8" s="49"/>
      <c r="FAV8" s="872">
        <f t="shared" ref="FAV8:FAV23" si="1248">SUM(FAP8:FAU8)</f>
        <v>0</v>
      </c>
      <c r="FAW8" s="873">
        <f t="shared" ref="FAW8:FAW23" si="1249">FAV8/$FAW$5</f>
        <v>0</v>
      </c>
    </row>
    <row r="9" spans="1:4105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13300</v>
      </c>
      <c r="G9" s="24"/>
      <c r="H9" s="24">
        <v>4200</v>
      </c>
      <c r="I9" s="24"/>
      <c r="J9" s="360">
        <f>SUMIF(SUMPK!$B:$B,$B:$B,SUMPK!$O:$O)</f>
        <v>0</v>
      </c>
      <c r="K9" s="24"/>
      <c r="L9" s="24">
        <f t="shared" si="569"/>
        <v>17500</v>
      </c>
      <c r="M9" s="24">
        <f t="shared" si="570"/>
        <v>17500</v>
      </c>
      <c r="N9" s="15">
        <v>0</v>
      </c>
      <c r="O9" s="276">
        <f t="shared" si="0"/>
        <v>0</v>
      </c>
      <c r="P9" s="15">
        <v>454.16666666666669</v>
      </c>
      <c r="Q9" s="276">
        <f t="shared" si="571"/>
        <v>231.19266055045873</v>
      </c>
      <c r="R9" s="277">
        <f t="shared" si="572"/>
        <v>453.84615384615387</v>
      </c>
      <c r="S9" s="222">
        <v>11800</v>
      </c>
      <c r="T9" s="276">
        <f t="shared" si="573"/>
        <v>38.559322033898304</v>
      </c>
      <c r="U9" s="278"/>
      <c r="V9" s="277">
        <f t="shared" si="1"/>
        <v>38.559322033898304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4"/>
        <v>4379</v>
      </c>
      <c r="BAV9" s="43">
        <f t="shared" si="575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6"/>
        <v>5706</v>
      </c>
      <c r="BBD9" s="43">
        <f t="shared" si="577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8"/>
        <v>3595</v>
      </c>
      <c r="BBL9" s="43">
        <f t="shared" si="579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80"/>
        <v>3282</v>
      </c>
      <c r="BBT9" s="43">
        <f t="shared" si="581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2"/>
        <v>2593</v>
      </c>
      <c r="BCB9" s="43">
        <f t="shared" si="583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4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5"/>
        <v>4139</v>
      </c>
      <c r="BCR9" s="43">
        <f t="shared" si="586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7"/>
        <v>2195</v>
      </c>
      <c r="BCZ9" s="43">
        <f t="shared" si="588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9"/>
        <v>3736</v>
      </c>
      <c r="BDH9" s="43">
        <f t="shared" si="590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2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3"/>
        <v>7086</v>
      </c>
      <c r="BDX9" s="43">
        <f t="shared" si="594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5"/>
        <v>3183</v>
      </c>
      <c r="BEF9" s="43">
        <f t="shared" si="596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7"/>
        <v>3636</v>
      </c>
      <c r="BEN9" s="43">
        <f t="shared" si="598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9"/>
        <v>4109</v>
      </c>
      <c r="BEV9" s="43">
        <f t="shared" si="600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2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3"/>
        <v>8639</v>
      </c>
      <c r="BFL9" s="68">
        <f t="shared" si="604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5"/>
        <v>4927</v>
      </c>
      <c r="BFT9" s="68">
        <f t="shared" si="606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7"/>
        <v>4931</v>
      </c>
      <c r="BGB9" s="68">
        <f t="shared" si="608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9"/>
        <v>2020</v>
      </c>
      <c r="BGJ9" s="68">
        <f t="shared" si="610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1"/>
        <v>4145</v>
      </c>
      <c r="BGR9" s="68">
        <f t="shared" si="612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3"/>
        <v>2385</v>
      </c>
      <c r="BGZ9" s="68">
        <f t="shared" si="614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5"/>
        <v>3898</v>
      </c>
      <c r="BHH9" s="68">
        <f t="shared" si="616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7"/>
        <v>3580</v>
      </c>
      <c r="BHP9" s="184">
        <f t="shared" si="618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9"/>
        <v>3509</v>
      </c>
      <c r="BHX9" s="211">
        <f t="shared" si="620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1"/>
        <v>6938</v>
      </c>
      <c r="BIF9" s="184">
        <f t="shared" si="622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3"/>
        <v>1989</v>
      </c>
      <c r="BIN9" s="184">
        <f t="shared" si="624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5"/>
        <v>4327</v>
      </c>
      <c r="BIV9" s="211">
        <f t="shared" si="626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7"/>
        <v>3503</v>
      </c>
      <c r="BJD9" s="211">
        <f t="shared" si="628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9"/>
        <v>4127</v>
      </c>
      <c r="BJL9" s="211">
        <f t="shared" si="630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1"/>
        <v>6690</v>
      </c>
      <c r="BJT9" s="184">
        <f t="shared" si="632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3"/>
        <v>2965</v>
      </c>
      <c r="BKB9" s="184">
        <f t="shared" si="634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5"/>
        <v>3307</v>
      </c>
      <c r="BKJ9" s="184">
        <f t="shared" si="636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7"/>
        <v>306</v>
      </c>
      <c r="BKR9" s="184">
        <f t="shared" si="638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9"/>
        <v>4317</v>
      </c>
      <c r="BKZ9" s="211">
        <f t="shared" si="640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1"/>
        <v>2355</v>
      </c>
      <c r="BLH9" s="211">
        <f t="shared" si="642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3"/>
        <v>4510</v>
      </c>
      <c r="BLP9" s="184">
        <f t="shared" si="644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5"/>
        <v>5679</v>
      </c>
      <c r="BLX9" s="184">
        <f t="shared" si="646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7"/>
        <v>2998</v>
      </c>
      <c r="BMF9" s="68">
        <f t="shared" si="648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9"/>
        <v>3583</v>
      </c>
      <c r="BMN9" s="68">
        <f t="shared" si="650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1"/>
        <v>5669</v>
      </c>
      <c r="BMV9" s="68">
        <f t="shared" si="652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3"/>
        <v>3272</v>
      </c>
      <c r="BND9" s="68">
        <f t="shared" si="654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5"/>
        <v>315</v>
      </c>
      <c r="BNL9" s="68">
        <f t="shared" si="656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7"/>
        <v>0</v>
      </c>
      <c r="BNT9" s="68">
        <f t="shared" si="658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9"/>
        <v>2994</v>
      </c>
      <c r="BOB9" s="184">
        <f t="shared" si="660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1"/>
        <v>2532</v>
      </c>
      <c r="BOJ9" s="184">
        <f t="shared" si="662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3"/>
        <v>3826</v>
      </c>
      <c r="BOR9" s="68">
        <f t="shared" si="664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5"/>
        <v>6592</v>
      </c>
      <c r="BOZ9" s="68">
        <f t="shared" si="666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7"/>
        <v>4071</v>
      </c>
      <c r="BPH9" s="68">
        <f t="shared" si="668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9"/>
        <v>4154</v>
      </c>
      <c r="BPP9" s="68">
        <f t="shared" si="670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1"/>
        <v>1679</v>
      </c>
      <c r="BPX9" s="68">
        <f t="shared" si="672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3"/>
        <v>3403</v>
      </c>
      <c r="BQF9" s="68">
        <f t="shared" si="674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5"/>
        <v>183</v>
      </c>
      <c r="BQN9" s="68">
        <f t="shared" si="676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7"/>
        <v>5098</v>
      </c>
      <c r="BQV9" s="68">
        <f t="shared" si="678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9"/>
        <v>3764</v>
      </c>
      <c r="BRD9" s="68">
        <f t="shared" si="680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1"/>
        <v>3369</v>
      </c>
      <c r="BRL9" s="68">
        <f t="shared" si="682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3"/>
        <v>1686</v>
      </c>
      <c r="BRT9" s="68">
        <f t="shared" si="684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5"/>
        <v>3423</v>
      </c>
      <c r="BSB9" s="68">
        <f t="shared" si="686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7"/>
        <v>4967</v>
      </c>
      <c r="BSJ9" s="68">
        <f t="shared" si="688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9"/>
        <v>0</v>
      </c>
      <c r="BSR9" s="68">
        <f t="shared" si="690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1"/>
        <v>4183</v>
      </c>
      <c r="BSZ9" s="68">
        <f t="shared" si="692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3"/>
        <v>4369</v>
      </c>
      <c r="BTH9" s="68">
        <f t="shared" si="694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5"/>
        <v>2537</v>
      </c>
      <c r="BTP9" s="68">
        <f t="shared" si="696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7"/>
        <v>4330</v>
      </c>
      <c r="BTX9" s="184">
        <f t="shared" si="698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9"/>
        <v>2168</v>
      </c>
      <c r="BUF9" s="184">
        <f t="shared" si="700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1"/>
        <v>2260</v>
      </c>
      <c r="BUN9" s="211">
        <f t="shared" si="702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3"/>
        <v>2789</v>
      </c>
      <c r="BUV9" s="211">
        <f t="shared" si="704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5"/>
        <v>2777</v>
      </c>
      <c r="BVD9" s="211">
        <f t="shared" si="706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7"/>
        <v>1870</v>
      </c>
      <c r="BVL9" s="184">
        <f t="shared" si="708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9"/>
        <v>4800</v>
      </c>
      <c r="BVT9" s="211">
        <f t="shared" si="710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1"/>
        <v>4241</v>
      </c>
      <c r="BWB9" s="184">
        <f t="shared" si="712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3"/>
        <v>2267</v>
      </c>
      <c r="BWJ9" s="184">
        <f t="shared" si="714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5"/>
        <v>3588</v>
      </c>
      <c r="BWR9" s="211">
        <f t="shared" si="716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7"/>
        <v>5158</v>
      </c>
      <c r="BWZ9" s="211">
        <f t="shared" si="718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9"/>
        <v>1172</v>
      </c>
      <c r="BXH9" s="211">
        <f t="shared" si="720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1"/>
        <v>2665</v>
      </c>
      <c r="BXP9" s="184">
        <f t="shared" si="722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3"/>
        <v>2487</v>
      </c>
      <c r="BXX9" s="184">
        <f t="shared" si="724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5"/>
        <v>4353</v>
      </c>
      <c r="BYF9" s="211">
        <f t="shared" si="726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7"/>
        <v>5484</v>
      </c>
      <c r="BYN9" s="184">
        <f t="shared" si="728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9"/>
        <v>1943</v>
      </c>
      <c r="BYV9" s="211">
        <f t="shared" si="730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1"/>
        <v>3400</v>
      </c>
      <c r="BZD9" s="184">
        <f t="shared" si="732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3"/>
        <v>2522</v>
      </c>
      <c r="BZL9" s="184">
        <f t="shared" si="734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5"/>
        <v>0</v>
      </c>
      <c r="BZT9" s="68">
        <f t="shared" si="736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7"/>
        <v>2532</v>
      </c>
      <c r="CAB9" s="68">
        <f t="shared" si="738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9"/>
        <v>4301</v>
      </c>
      <c r="CAJ9" s="68">
        <f t="shared" si="740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1"/>
        <v>3351</v>
      </c>
      <c r="CAR9" s="184">
        <f t="shared" si="742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3"/>
        <v>3358</v>
      </c>
      <c r="CAZ9" s="211">
        <f t="shared" si="744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5"/>
        <v>4831</v>
      </c>
      <c r="CBH9" s="211">
        <f t="shared" si="746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7"/>
        <v>8088</v>
      </c>
      <c r="CBP9" s="184">
        <f t="shared" si="748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9"/>
        <v>210</v>
      </c>
      <c r="CBX9" s="68">
        <f t="shared" si="750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1"/>
        <v>3509</v>
      </c>
      <c r="CCF9" s="68">
        <f t="shared" si="752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3"/>
        <v>1303</v>
      </c>
      <c r="CCN9" s="68">
        <f t="shared" si="754"/>
        <v>217.16666666666666</v>
      </c>
      <c r="CCO9" s="63"/>
      <c r="CCP9" s="64"/>
      <c r="CCQ9" s="64"/>
      <c r="CCR9" s="64"/>
      <c r="CCS9" s="64"/>
      <c r="CCT9" s="64"/>
      <c r="CCU9" s="67">
        <f t="shared" si="755"/>
        <v>0</v>
      </c>
      <c r="CCV9" s="68">
        <f t="shared" si="756"/>
        <v>0</v>
      </c>
      <c r="CCW9" s="63"/>
      <c r="CCX9" s="64"/>
      <c r="CCY9" s="64">
        <v>1642</v>
      </c>
      <c r="CCZ9" s="64"/>
      <c r="CDA9" s="64"/>
      <c r="CDB9" s="64"/>
      <c r="CDC9" s="67">
        <f t="shared" si="757"/>
        <v>1642</v>
      </c>
      <c r="CDD9" s="68">
        <f t="shared" si="758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9"/>
        <v>4883</v>
      </c>
      <c r="CDL9" s="68">
        <f t="shared" si="760"/>
        <v>813.83333333333337</v>
      </c>
      <c r="CDM9" s="63"/>
      <c r="CDN9" s="64"/>
      <c r="CDO9" s="64"/>
      <c r="CDP9" s="64"/>
      <c r="CDQ9" s="47"/>
      <c r="CDR9" s="64"/>
      <c r="CDS9" s="67">
        <f t="shared" si="761"/>
        <v>0</v>
      </c>
      <c r="CDT9" s="68">
        <f t="shared" si="762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3"/>
        <v>3910</v>
      </c>
      <c r="CEB9" s="68">
        <f t="shared" si="764"/>
        <v>651.66666666666663</v>
      </c>
      <c r="CEC9" s="63"/>
      <c r="CED9" s="64"/>
      <c r="CEE9" s="64"/>
      <c r="CEF9" s="64"/>
      <c r="CEG9" s="64"/>
      <c r="CEH9" s="64"/>
      <c r="CEI9" s="67">
        <f t="shared" si="765"/>
        <v>0</v>
      </c>
      <c r="CEJ9" s="68">
        <f t="shared" si="766"/>
        <v>0</v>
      </c>
      <c r="CEK9" s="63"/>
      <c r="CEL9" s="64">
        <v>3432</v>
      </c>
      <c r="CEM9" s="64"/>
      <c r="CEN9" s="64"/>
      <c r="CEO9" s="64"/>
      <c r="CEP9" s="64"/>
      <c r="CEQ9" s="67">
        <f t="shared" si="767"/>
        <v>3432</v>
      </c>
      <c r="CER9" s="68">
        <f t="shared" si="768"/>
        <v>572</v>
      </c>
      <c r="CES9" s="63"/>
      <c r="CET9" s="64"/>
      <c r="CEU9" s="64"/>
      <c r="CEV9" s="64"/>
      <c r="CEW9" s="64"/>
      <c r="CEX9" s="64"/>
      <c r="CEY9" s="67">
        <f t="shared" si="769"/>
        <v>0</v>
      </c>
      <c r="CEZ9" s="68">
        <f t="shared" si="770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1"/>
        <v>3721</v>
      </c>
      <c r="CFH9" s="68">
        <f t="shared" si="772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3"/>
        <v>5573</v>
      </c>
      <c r="CFP9" s="68">
        <f t="shared" si="774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5"/>
        <v>3274</v>
      </c>
      <c r="CFX9" s="68">
        <f t="shared" si="776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7"/>
        <v>3856</v>
      </c>
      <c r="CGF9" s="68">
        <f t="shared" si="778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9"/>
        <v>4682</v>
      </c>
      <c r="CGN9" s="68">
        <f t="shared" si="780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1"/>
        <v>1985</v>
      </c>
      <c r="CGV9" s="68">
        <f t="shared" si="782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3"/>
        <v>4175</v>
      </c>
      <c r="CHD9" s="68">
        <f t="shared" si="784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5"/>
        <v>2488</v>
      </c>
      <c r="CHL9" s="68">
        <f t="shared" si="786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7"/>
        <v>2479</v>
      </c>
      <c r="CHT9" s="68">
        <f t="shared" si="788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9"/>
        <v>4324</v>
      </c>
      <c r="CIB9" s="68">
        <f t="shared" si="790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1"/>
        <v>1862</v>
      </c>
      <c r="CIJ9" s="68">
        <f t="shared" si="792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3"/>
        <v>4450</v>
      </c>
      <c r="CIR9" s="68">
        <f t="shared" si="794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5"/>
        <v>5744</v>
      </c>
      <c r="CIZ9" s="68">
        <f t="shared" si="796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7"/>
        <v>3794</v>
      </c>
      <c r="CJH9" s="68">
        <f t="shared" si="798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9"/>
        <v>8335</v>
      </c>
      <c r="CJP9" s="68">
        <f t="shared" si="800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1"/>
        <v>3396</v>
      </c>
      <c r="CJX9" s="68">
        <f t="shared" si="802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3"/>
        <v>6486</v>
      </c>
      <c r="CKF9" s="68">
        <f t="shared" si="804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5"/>
        <v>4951</v>
      </c>
      <c r="CKN9" s="68">
        <f t="shared" si="806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7"/>
        <v>3265</v>
      </c>
      <c r="CKV9" s="68">
        <f t="shared" si="808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9"/>
        <v>816</v>
      </c>
      <c r="CLD9" s="68">
        <f t="shared" si="810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1"/>
        <v>3515</v>
      </c>
      <c r="CLL9" s="68">
        <f t="shared" si="812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3"/>
        <v>3448</v>
      </c>
      <c r="CLT9" s="184">
        <f t="shared" si="814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5"/>
        <v>7208</v>
      </c>
      <c r="CMB9" s="68">
        <f t="shared" si="816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7"/>
        <v>3407</v>
      </c>
      <c r="CMJ9" s="68">
        <f t="shared" si="818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9"/>
        <v>3693</v>
      </c>
      <c r="CMR9" s="68">
        <f t="shared" si="820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1"/>
        <v>3914</v>
      </c>
      <c r="CMZ9" s="68">
        <f t="shared" si="822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3"/>
        <v>3980</v>
      </c>
      <c r="CNH9" s="68">
        <f t="shared" si="824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5"/>
        <v>4268</v>
      </c>
      <c r="CNP9" s="68">
        <f t="shared" si="826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7"/>
        <v>3194</v>
      </c>
      <c r="CNX9" s="68">
        <f t="shared" si="828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9"/>
        <v>4463</v>
      </c>
      <c r="COF9" s="68">
        <f t="shared" si="830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1"/>
        <v>3227</v>
      </c>
      <c r="CON9" s="68">
        <f t="shared" si="832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3"/>
        <v>5569</v>
      </c>
      <c r="COV9" s="68">
        <f t="shared" si="834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5"/>
        <v>4970</v>
      </c>
      <c r="CPD9" s="68">
        <f t="shared" si="836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7"/>
        <v>2482</v>
      </c>
      <c r="CPL9" s="68">
        <f t="shared" si="838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9"/>
        <v>10778</v>
      </c>
      <c r="CPT9" s="68">
        <f t="shared" si="840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1"/>
        <v>4186</v>
      </c>
      <c r="CQB9" s="68">
        <f t="shared" si="842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3"/>
        <v>10770</v>
      </c>
      <c r="CQJ9" s="68">
        <f t="shared" si="844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5"/>
        <v>2453</v>
      </c>
      <c r="CQR9" s="68">
        <f t="shared" si="846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7"/>
        <v>3516</v>
      </c>
      <c r="CQZ9" s="68">
        <f t="shared" si="848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9"/>
        <v>2894</v>
      </c>
      <c r="CRH9" s="68">
        <f t="shared" si="850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1"/>
        <v>4201</v>
      </c>
      <c r="CRP9" s="68">
        <f t="shared" si="852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3"/>
        <v>4344</v>
      </c>
      <c r="CRX9" s="68">
        <f t="shared" si="854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5"/>
        <v>5358</v>
      </c>
      <c r="CSF9" s="68">
        <f t="shared" si="856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7"/>
        <v>6064</v>
      </c>
      <c r="CSN9" s="68">
        <f t="shared" si="858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9"/>
        <v>8063</v>
      </c>
      <c r="CSV9" s="68">
        <f t="shared" si="860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1"/>
        <v>8380</v>
      </c>
      <c r="CTD9" s="68">
        <f t="shared" si="862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3"/>
        <v>3354</v>
      </c>
      <c r="CTL9" s="68">
        <f t="shared" si="864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5"/>
        <v>1512</v>
      </c>
      <c r="CTT9" s="68">
        <f t="shared" si="866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7"/>
        <v>1001</v>
      </c>
      <c r="CUB9" s="68">
        <f t="shared" si="868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9"/>
        <v>4170</v>
      </c>
      <c r="CUJ9" s="68">
        <f t="shared" si="870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1"/>
        <v>3341</v>
      </c>
      <c r="CUR9" s="68">
        <f t="shared" si="872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3"/>
        <v>3830</v>
      </c>
      <c r="CUZ9" s="68">
        <f t="shared" si="874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5"/>
        <v>6326</v>
      </c>
      <c r="CVH9" s="68">
        <f t="shared" si="876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7"/>
        <v>1980</v>
      </c>
      <c r="CVP9" s="68">
        <f t="shared" si="878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9"/>
        <v>6183</v>
      </c>
      <c r="CVX9" s="68">
        <f t="shared" si="880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1"/>
        <v>7965</v>
      </c>
      <c r="CWF9" s="68">
        <f t="shared" si="882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3"/>
        <v>2944</v>
      </c>
      <c r="CWN9" s="68">
        <f t="shared" si="884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5"/>
        <v>3336</v>
      </c>
      <c r="CWV9" s="43">
        <f t="shared" si="886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7"/>
        <v>1658</v>
      </c>
      <c r="CXD9" s="43">
        <f t="shared" si="888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9"/>
        <v>1638</v>
      </c>
      <c r="CXL9" s="43">
        <f t="shared" si="890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1"/>
        <v>4011</v>
      </c>
      <c r="CXT9" s="43">
        <f t="shared" si="892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3"/>
        <v>3973</v>
      </c>
      <c r="CYB9" s="43">
        <f t="shared" si="894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5"/>
        <v>0</v>
      </c>
      <c r="CYJ9" s="43">
        <f t="shared" si="896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7"/>
        <v>7185</v>
      </c>
      <c r="CYR9" s="43">
        <f t="shared" si="898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9"/>
        <v>5585</v>
      </c>
      <c r="CYZ9" s="43">
        <f t="shared" si="900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1"/>
        <v>9657</v>
      </c>
      <c r="CZH9" s="43">
        <f t="shared" si="902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3"/>
        <v>1842</v>
      </c>
      <c r="CZP9" s="43">
        <f t="shared" si="904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5"/>
        <v>4057</v>
      </c>
      <c r="CZX9" s="43">
        <f t="shared" si="906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7"/>
        <v>6562</v>
      </c>
      <c r="DAF9" s="43">
        <f t="shared" si="908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9"/>
        <v>337</v>
      </c>
      <c r="DAN9" s="43">
        <f t="shared" si="910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1"/>
        <v>6778</v>
      </c>
      <c r="DAV9" s="68">
        <f t="shared" si="912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3"/>
        <v>3322</v>
      </c>
      <c r="DBD9" s="68">
        <f t="shared" si="914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5"/>
        <v>4963</v>
      </c>
      <c r="DBL9" s="68">
        <f t="shared" si="916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7"/>
        <v>959</v>
      </c>
      <c r="DBT9" s="68">
        <f t="shared" si="918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9"/>
        <v>3413</v>
      </c>
      <c r="DCB9" s="184">
        <f t="shared" si="920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1"/>
        <v>3882</v>
      </c>
      <c r="DCJ9" s="211">
        <f t="shared" si="922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3"/>
        <v>4821</v>
      </c>
      <c r="DCR9" s="211">
        <f t="shared" si="924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5"/>
        <v>1102</v>
      </c>
      <c r="DCZ9" s="184">
        <f t="shared" si="926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7"/>
        <v>1850</v>
      </c>
      <c r="DDH9" s="211">
        <f t="shared" si="928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9"/>
        <v>2560</v>
      </c>
      <c r="DDP9" s="184">
        <f t="shared" si="930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1"/>
        <v>0</v>
      </c>
      <c r="DDX9" s="211">
        <f t="shared" si="932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3"/>
        <v>7449</v>
      </c>
      <c r="DEF9" s="214">
        <f t="shared" si="934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5"/>
        <v>5403</v>
      </c>
      <c r="DEN9" s="101">
        <f t="shared" si="936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7"/>
        <v>682</v>
      </c>
      <c r="DEV9" s="101">
        <f t="shared" si="938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9"/>
        <v>9</v>
      </c>
      <c r="DFD9" s="43">
        <f t="shared" si="940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1"/>
        <v>5277</v>
      </c>
      <c r="DFL9" s="43">
        <f t="shared" si="942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3"/>
        <v>6225</v>
      </c>
      <c r="DFT9" s="43">
        <f t="shared" si="944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5"/>
        <v>3372</v>
      </c>
      <c r="DGB9" s="43">
        <f t="shared" si="946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7"/>
        <v>2623</v>
      </c>
      <c r="DGJ9" s="68">
        <f t="shared" si="948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9"/>
        <v>3916</v>
      </c>
      <c r="DGR9" s="68">
        <f t="shared" si="950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1"/>
        <v>3970</v>
      </c>
      <c r="DGZ9" s="68">
        <f t="shared" si="952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3"/>
        <v>2409</v>
      </c>
      <c r="DHH9" s="68">
        <f t="shared" si="954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5"/>
        <v>0</v>
      </c>
      <c r="DHP9" s="68">
        <f t="shared" si="956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7"/>
        <v>3676</v>
      </c>
      <c r="DHX9" s="68">
        <f t="shared" si="958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9"/>
        <v>3634</v>
      </c>
      <c r="DIF9" s="68">
        <f t="shared" si="960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1"/>
        <v>311</v>
      </c>
      <c r="DIN9" s="68">
        <f t="shared" si="962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3"/>
        <v>5230</v>
      </c>
      <c r="DIV9" s="68">
        <f t="shared" si="964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5"/>
        <v>3853</v>
      </c>
      <c r="DJD9" s="68">
        <f t="shared" si="966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7"/>
        <v>5261</v>
      </c>
      <c r="DJL9" s="68">
        <f t="shared" si="968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9"/>
        <v>3987</v>
      </c>
      <c r="DJT9" s="68">
        <f t="shared" si="970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1"/>
        <v>2908</v>
      </c>
      <c r="DKB9" s="68">
        <f t="shared" si="972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3"/>
        <v>5076</v>
      </c>
      <c r="DKJ9" s="68">
        <f t="shared" si="974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5"/>
        <v>5131</v>
      </c>
      <c r="DKR9" s="68">
        <f t="shared" si="976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7"/>
        <v>6753</v>
      </c>
      <c r="DKZ9" s="68">
        <f t="shared" si="978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9"/>
        <v>5323</v>
      </c>
      <c r="DLH9" s="68">
        <f t="shared" si="980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1"/>
        <v>4727</v>
      </c>
      <c r="DLP9" s="68">
        <f t="shared" si="982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3"/>
        <v>3885</v>
      </c>
      <c r="DLX9" s="68">
        <f t="shared" si="984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5"/>
        <v>5389</v>
      </c>
      <c r="DMF9" s="68">
        <f t="shared" si="986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7"/>
        <v>3549</v>
      </c>
      <c r="DMN9" s="68">
        <f t="shared" si="988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9"/>
        <v>6701</v>
      </c>
      <c r="DMV9" s="68">
        <f t="shared" si="990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1"/>
        <v>4505</v>
      </c>
      <c r="DND9" s="68">
        <f t="shared" si="992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3"/>
        <v>7997</v>
      </c>
      <c r="DNL9" s="68">
        <f t="shared" si="994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5"/>
        <v>2822</v>
      </c>
      <c r="DNT9" s="68">
        <f t="shared" si="996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7"/>
        <v>1722</v>
      </c>
      <c r="DOB9" s="68">
        <f t="shared" si="998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9"/>
        <v>2994</v>
      </c>
      <c r="DOJ9" s="68">
        <f t="shared" si="1000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1"/>
        <v>6715</v>
      </c>
      <c r="DOR9" s="68">
        <f t="shared" si="1002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3"/>
        <v>1506</v>
      </c>
      <c r="DOZ9" s="68">
        <f t="shared" si="1004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5"/>
        <v>6784</v>
      </c>
      <c r="DPH9" s="68">
        <f t="shared" si="1006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7"/>
        <v>7515</v>
      </c>
      <c r="DPP9" s="68">
        <f t="shared" si="1008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9"/>
        <v>2381</v>
      </c>
      <c r="DPX9" s="68">
        <f t="shared" si="1010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11"/>
        <v>6192</v>
      </c>
      <c r="DQF9" s="68">
        <f t="shared" si="1012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3"/>
        <v>2748</v>
      </c>
      <c r="DQN9" s="68">
        <f t="shared" si="1014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5"/>
        <v>11343</v>
      </c>
      <c r="DQV9" s="68">
        <f t="shared" si="1016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7"/>
        <v>3369</v>
      </c>
      <c r="DRD9" s="68">
        <f t="shared" si="1018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9"/>
        <v>0</v>
      </c>
      <c r="DRL9" s="68">
        <f t="shared" si="1020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1"/>
        <v>0</v>
      </c>
      <c r="DRT9" s="68">
        <f t="shared" si="1022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3"/>
        <v>1695</v>
      </c>
      <c r="DSB9" s="68">
        <f t="shared" si="1024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5"/>
        <v>4345</v>
      </c>
      <c r="DSJ9" s="68">
        <f t="shared" si="1026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7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8"/>
        <v>2370</v>
      </c>
      <c r="DSZ9" s="68">
        <f t="shared" si="1029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30"/>
        <v>1990</v>
      </c>
      <c r="DTH9" s="68">
        <f t="shared" si="1031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2"/>
        <v>3172</v>
      </c>
      <c r="DTP9" s="68">
        <f t="shared" si="1033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4"/>
        <v>0</v>
      </c>
      <c r="DTX9" s="68">
        <f t="shared" si="1035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6"/>
        <v>4958</v>
      </c>
      <c r="DUF9" s="68">
        <f t="shared" si="1037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8"/>
        <v>1276</v>
      </c>
      <c r="DUN9" s="68">
        <f t="shared" si="1039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40"/>
        <v>2793</v>
      </c>
      <c r="DUV9" s="68">
        <f t="shared" si="1041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2"/>
        <v>2509</v>
      </c>
      <c r="DVD9" s="68">
        <f t="shared" si="1043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4"/>
        <v>6855</v>
      </c>
      <c r="DVL9" s="68">
        <f t="shared" si="1045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6"/>
        <v>348</v>
      </c>
      <c r="DVT9" s="68">
        <f t="shared" si="1047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8"/>
        <v>5988</v>
      </c>
      <c r="DWB9" s="68">
        <f t="shared" si="1049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50"/>
        <v>1421</v>
      </c>
      <c r="DWJ9" s="68">
        <f t="shared" si="1051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2"/>
        <v>8093</v>
      </c>
      <c r="DWR9" s="68">
        <f t="shared" si="1053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4"/>
        <v>0</v>
      </c>
      <c r="DWZ9" s="68">
        <f t="shared" si="1055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6"/>
        <v>5072</v>
      </c>
      <c r="DXH9" s="68">
        <f t="shared" si="1057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8"/>
        <v>144</v>
      </c>
      <c r="DXP9" s="68">
        <f t="shared" si="1059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60"/>
        <v>3080</v>
      </c>
      <c r="DXX9" s="68">
        <f t="shared" si="1061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2"/>
        <v>5976</v>
      </c>
      <c r="DYF9" s="68">
        <f t="shared" si="1063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4"/>
        <v>2147</v>
      </c>
      <c r="DYN9" s="68">
        <f t="shared" si="1065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6"/>
        <v>4154</v>
      </c>
      <c r="DYV9" s="68">
        <f t="shared" si="1067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8"/>
        <v>1400</v>
      </c>
      <c r="DZD9" s="68">
        <f t="shared" si="1069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70"/>
        <v>3332</v>
      </c>
      <c r="DZL9" s="68">
        <f t="shared" si="1071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2"/>
        <v>4202</v>
      </c>
      <c r="DZT9" s="68">
        <f t="shared" si="1073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4"/>
        <v>5524</v>
      </c>
      <c r="EAB9" s="68">
        <f t="shared" si="1075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6"/>
        <v>3127</v>
      </c>
      <c r="EAJ9" s="68">
        <f t="shared" si="1077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8"/>
        <v>5775</v>
      </c>
      <c r="EAR9" s="68">
        <f t="shared" si="1079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80"/>
        <v>3356</v>
      </c>
      <c r="EAZ9" s="68">
        <f t="shared" si="1081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2"/>
        <v>2605</v>
      </c>
      <c r="EBH9" s="68">
        <f t="shared" si="1083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4"/>
        <v>3311</v>
      </c>
      <c r="EBP9" s="68">
        <f t="shared" si="1085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6"/>
        <v>5767</v>
      </c>
      <c r="EBX9" s="68">
        <f t="shared" si="1087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8"/>
        <v>2414</v>
      </c>
      <c r="ECF9" s="68">
        <f t="shared" si="1089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90"/>
        <v>3072</v>
      </c>
      <c r="ECN9" s="68">
        <f t="shared" si="1091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2"/>
        <v>7474</v>
      </c>
      <c r="ECV9" s="68">
        <f t="shared" si="1093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4"/>
        <v>2855</v>
      </c>
      <c r="EDD9" s="68">
        <f t="shared" si="1095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6"/>
        <v>0</v>
      </c>
      <c r="EDL9" s="68">
        <f t="shared" si="1097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8"/>
        <v>7455</v>
      </c>
      <c r="EDT9" s="68">
        <f t="shared" si="1099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100"/>
        <v>2587</v>
      </c>
      <c r="EEB9" s="68">
        <f t="shared" si="1101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2"/>
        <v>3101</v>
      </c>
      <c r="EEJ9" s="68">
        <f t="shared" si="1103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4"/>
        <v>10279</v>
      </c>
      <c r="EER9" s="68">
        <f t="shared" si="1105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6"/>
        <v>1881</v>
      </c>
      <c r="EEZ9" s="68">
        <f t="shared" si="1107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8"/>
        <v>3328</v>
      </c>
      <c r="EFH9" s="68">
        <f t="shared" si="1109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10"/>
        <v>7319</v>
      </c>
      <c r="EFP9" s="68">
        <f t="shared" si="1111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2"/>
        <v>0</v>
      </c>
      <c r="EFX9" s="68">
        <f t="shared" si="1113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4"/>
        <v>6370</v>
      </c>
      <c r="EGF9" s="68">
        <f t="shared" si="1115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6"/>
        <v>3122</v>
      </c>
      <c r="EGN9" s="68">
        <f t="shared" si="1117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8"/>
        <v>7001</v>
      </c>
      <c r="EGV9" s="68">
        <f t="shared" si="1119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20"/>
        <v>2480</v>
      </c>
      <c r="EHD9" s="68">
        <f t="shared" si="1121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2"/>
        <v>2387</v>
      </c>
      <c r="EHL9" s="68">
        <f t="shared" si="1123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4"/>
        <v>3927</v>
      </c>
      <c r="EHT9" s="68">
        <f t="shared" si="1125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6"/>
        <v>3473</v>
      </c>
      <c r="EIB9" s="68">
        <f t="shared" si="1127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8"/>
        <v>4088</v>
      </c>
      <c r="EIJ9" s="68">
        <f t="shared" si="1129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30"/>
        <v>2138</v>
      </c>
      <c r="EIR9" s="68">
        <f t="shared" si="1131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2"/>
        <v>4641</v>
      </c>
      <c r="EIZ9" s="68">
        <f t="shared" si="1133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4"/>
        <v>3756</v>
      </c>
      <c r="EJH9" s="68">
        <f t="shared" si="1135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6"/>
        <v>6056</v>
      </c>
      <c r="EJP9" s="68">
        <f t="shared" si="1137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8"/>
        <v>2246</v>
      </c>
      <c r="EJX9" s="68">
        <f t="shared" si="1139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40"/>
        <v>5778</v>
      </c>
      <c r="EKF9" s="68">
        <f t="shared" si="1141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2"/>
        <v>3752</v>
      </c>
      <c r="EKN9" s="68">
        <f t="shared" si="1143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4"/>
        <v>8028</v>
      </c>
      <c r="EKV9" s="68">
        <f t="shared" si="1145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6"/>
        <v>3050</v>
      </c>
      <c r="ELD9" s="68">
        <f t="shared" si="1147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8"/>
        <v>1066</v>
      </c>
      <c r="ELL9" s="184">
        <f t="shared" si="1149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50"/>
        <v>0</v>
      </c>
      <c r="ELU9" s="211">
        <f t="shared" si="1151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2"/>
        <v>2032</v>
      </c>
      <c r="EMC9" s="211">
        <f t="shared" si="1153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4"/>
        <v>2829</v>
      </c>
      <c r="EMK9" s="211">
        <f t="shared" si="1155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6"/>
        <v>4994</v>
      </c>
      <c r="EMS9" s="211">
        <f t="shared" si="1157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8"/>
        <v>2113</v>
      </c>
      <c r="ENA9" s="211">
        <f t="shared" si="1159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60"/>
        <v>4521</v>
      </c>
      <c r="ENI9" s="211">
        <f t="shared" si="1161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2"/>
        <v>4491</v>
      </c>
      <c r="ENQ9" s="211">
        <f t="shared" si="1163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4"/>
        <v>8147</v>
      </c>
      <c r="ENY9" s="211">
        <f t="shared" si="1165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6"/>
        <v>1019</v>
      </c>
      <c r="EOG9" s="211">
        <f t="shared" si="1167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8"/>
        <v>2</v>
      </c>
      <c r="EOO9" s="211">
        <f t="shared" si="1169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70"/>
        <v>3886</v>
      </c>
      <c r="EOW9" s="211">
        <f t="shared" si="1171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2"/>
        <v>2755</v>
      </c>
      <c r="EPE9" s="211">
        <f t="shared" si="1173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4"/>
        <v>3777</v>
      </c>
      <c r="EPM9" s="211">
        <f t="shared" si="1175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6"/>
        <v>6320</v>
      </c>
      <c r="EPU9" s="211">
        <f t="shared" si="1177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8"/>
        <v>216</v>
      </c>
      <c r="EQC9" s="211">
        <f t="shared" si="1179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80"/>
        <v>3431</v>
      </c>
      <c r="EQK9" s="211">
        <f t="shared" si="1181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2"/>
        <v>4616</v>
      </c>
      <c r="EQS9" s="211">
        <f t="shared" si="1183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4"/>
        <v>2598</v>
      </c>
      <c r="ERA9" s="211">
        <f t="shared" si="1185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6"/>
        <v>4325</v>
      </c>
      <c r="ERI9" s="211">
        <f t="shared" si="1187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8"/>
        <v>1149</v>
      </c>
      <c r="ERQ9" s="211">
        <f t="shared" si="1189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90"/>
        <v>1689</v>
      </c>
      <c r="ERY9" s="211">
        <f t="shared" si="1191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2"/>
        <v>2885</v>
      </c>
      <c r="ESG9" s="211">
        <f t="shared" si="1193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4"/>
        <v>5542</v>
      </c>
      <c r="ESO9" s="211">
        <f t="shared" si="1195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6"/>
        <v>2758</v>
      </c>
      <c r="ESW9" s="211">
        <f t="shared" si="1197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8"/>
        <v>2288</v>
      </c>
      <c r="ETE9" s="736">
        <f t="shared" si="1199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200"/>
        <v>2524</v>
      </c>
      <c r="ETM9" s="211">
        <f t="shared" si="1201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2"/>
        <v>3886</v>
      </c>
      <c r="ETU9" s="211">
        <f t="shared" si="1203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4"/>
        <v>4886</v>
      </c>
      <c r="EUC9" s="211">
        <f t="shared" si="1205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6"/>
        <v>5663</v>
      </c>
      <c r="EUK9" s="211">
        <f t="shared" si="1207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8"/>
        <v>3119</v>
      </c>
      <c r="EUS9" s="211">
        <f t="shared" si="1209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10"/>
        <v>4126</v>
      </c>
      <c r="EVA9" s="211">
        <f t="shared" si="1211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2"/>
        <v>2837</v>
      </c>
      <c r="EVI9" s="211">
        <f t="shared" si="1213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4"/>
        <v>3664</v>
      </c>
      <c r="EVQ9" s="211">
        <f t="shared" si="1215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6"/>
        <v>1242</v>
      </c>
      <c r="EVY9" s="211">
        <f t="shared" si="1217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8"/>
        <v>5183</v>
      </c>
      <c r="EWG9" s="211">
        <f t="shared" si="1219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20"/>
        <v>1614</v>
      </c>
      <c r="EWO9" s="211">
        <f t="shared" si="1221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2"/>
        <v>686</v>
      </c>
      <c r="EWW9" s="211">
        <f t="shared" si="1223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4"/>
        <v>8413</v>
      </c>
      <c r="EXE9" s="211">
        <f t="shared" si="1225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6"/>
        <v>1639</v>
      </c>
      <c r="EXM9" s="211">
        <f t="shared" si="1227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8"/>
        <v>7018</v>
      </c>
      <c r="EXU9" s="211">
        <f t="shared" si="1229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30"/>
        <v>0</v>
      </c>
      <c r="EYC9" s="211">
        <f t="shared" si="1231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2"/>
        <v>0</v>
      </c>
      <c r="EYK9" s="211">
        <f t="shared" si="1233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4"/>
        <v>3339</v>
      </c>
      <c r="EYS9" s="211">
        <f t="shared" si="1235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6"/>
        <v>4701</v>
      </c>
      <c r="EZA9" s="211">
        <f t="shared" si="1237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8"/>
        <v>3127</v>
      </c>
      <c r="EZI9" s="211">
        <f t="shared" si="1239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40"/>
        <v>2380</v>
      </c>
      <c r="EZQ9" s="873">
        <f t="shared" si="1241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2"/>
        <v>498</v>
      </c>
      <c r="EZY9" s="873">
        <f t="shared" si="1243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4"/>
        <v>2725</v>
      </c>
      <c r="FAG9" s="873">
        <f t="shared" si="1245"/>
        <v>454.16666666666669</v>
      </c>
      <c r="FAH9" s="195">
        <v>0</v>
      </c>
      <c r="FAI9" s="49">
        <v>0</v>
      </c>
      <c r="FAJ9" s="49">
        <v>0</v>
      </c>
      <c r="FAK9" s="49">
        <v>0</v>
      </c>
      <c r="FAL9" s="49">
        <v>0</v>
      </c>
      <c r="FAM9" s="49">
        <v>0</v>
      </c>
      <c r="FAN9" s="872">
        <f t="shared" si="1246"/>
        <v>0</v>
      </c>
      <c r="FAO9" s="873">
        <f t="shared" si="1247"/>
        <v>0</v>
      </c>
      <c r="FAP9" s="195">
        <v>2432</v>
      </c>
      <c r="FAQ9" s="49">
        <v>146</v>
      </c>
      <c r="FAR9" s="49"/>
      <c r="FAS9" s="49"/>
      <c r="FAT9" s="49"/>
      <c r="FAU9" s="49"/>
      <c r="FAV9" s="872">
        <f t="shared" si="1248"/>
        <v>2578</v>
      </c>
      <c r="FAW9" s="873">
        <f t="shared" si="1249"/>
        <v>429.66666666666669</v>
      </c>
    </row>
    <row r="10" spans="1:4105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8035</v>
      </c>
      <c r="G10" s="24"/>
      <c r="H10" s="24"/>
      <c r="I10" s="24"/>
      <c r="J10" s="360">
        <f>SUMIF(SUMPK!$B:$B,$B:$B,SUMPK!$O:$O)</f>
        <v>0</v>
      </c>
      <c r="K10" s="24"/>
      <c r="L10" s="24">
        <f t="shared" si="569"/>
        <v>8035</v>
      </c>
      <c r="M10" s="24">
        <f t="shared" si="570"/>
        <v>8035</v>
      </c>
      <c r="N10" s="15">
        <v>690.16666666666663</v>
      </c>
      <c r="O10" s="276">
        <f t="shared" si="0"/>
        <v>11.642115431055302</v>
      </c>
      <c r="P10" s="15">
        <v>0</v>
      </c>
      <c r="Q10" s="276">
        <f t="shared" si="571"/>
        <v>0</v>
      </c>
      <c r="R10" s="277">
        <f t="shared" si="572"/>
        <v>476.92307692307691</v>
      </c>
      <c r="S10" s="222">
        <v>12400</v>
      </c>
      <c r="T10" s="276">
        <f t="shared" si="573"/>
        <v>16.84758064516129</v>
      </c>
      <c r="U10" s="278"/>
      <c r="V10" s="277">
        <f t="shared" si="1"/>
        <v>16.84758064516129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4"/>
        <v>3818</v>
      </c>
      <c r="BAV10" s="43">
        <f t="shared" si="575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6"/>
        <v>2533</v>
      </c>
      <c r="BBD10" s="43">
        <f t="shared" si="577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8"/>
        <v>6005</v>
      </c>
      <c r="BBL10" s="43">
        <f t="shared" si="579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80"/>
        <v>4857</v>
      </c>
      <c r="BBT10" s="43">
        <f t="shared" si="581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2"/>
        <v>7042</v>
      </c>
      <c r="BCB10" s="43">
        <f t="shared" si="583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4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5"/>
        <v>2306</v>
      </c>
      <c r="BCR10" s="43">
        <f t="shared" si="586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7"/>
        <v>3878</v>
      </c>
      <c r="BCZ10" s="43">
        <f t="shared" si="588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9"/>
        <v>3008</v>
      </c>
      <c r="BDH10" s="43">
        <f t="shared" si="590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1"/>
        <v>4368</v>
      </c>
      <c r="BDP10" s="43">
        <f t="shared" si="592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3"/>
        <v>6443</v>
      </c>
      <c r="BDX10" s="43">
        <f t="shared" si="594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5"/>
        <v>2572</v>
      </c>
      <c r="BEF10" s="43">
        <f t="shared" si="596"/>
        <v>428.66666666666669</v>
      </c>
      <c r="BEG10" s="48"/>
      <c r="BEH10" s="49"/>
      <c r="BEI10" s="49"/>
      <c r="BEJ10" s="49"/>
      <c r="BEK10" s="49"/>
      <c r="BEL10" s="49"/>
      <c r="BEM10" s="42">
        <f t="shared" si="597"/>
        <v>0</v>
      </c>
      <c r="BEN10" s="43">
        <f t="shared" si="598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9"/>
        <v>4224</v>
      </c>
      <c r="BEV10" s="43">
        <f t="shared" si="600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1"/>
        <v>2423</v>
      </c>
      <c r="BFD10" s="43">
        <f t="shared" si="602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3"/>
        <v>748</v>
      </c>
      <c r="BFL10" s="68">
        <f t="shared" si="604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5"/>
        <v>6583</v>
      </c>
      <c r="BFT10" s="68">
        <f t="shared" si="606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7"/>
        <v>6043</v>
      </c>
      <c r="BGB10" s="68">
        <f t="shared" si="608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9"/>
        <v>3390</v>
      </c>
      <c r="BGJ10" s="68">
        <f t="shared" si="610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1"/>
        <v>5516</v>
      </c>
      <c r="BGR10" s="68">
        <f t="shared" si="612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3"/>
        <v>2168</v>
      </c>
      <c r="BGZ10" s="68">
        <f t="shared" si="614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5"/>
        <v>2006</v>
      </c>
      <c r="BHH10" s="68">
        <f t="shared" si="616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7"/>
        <v>2503</v>
      </c>
      <c r="BHP10" s="184">
        <f t="shared" si="618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9"/>
        <v>3419</v>
      </c>
      <c r="BHX10" s="211">
        <f t="shared" si="620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1"/>
        <v>4661</v>
      </c>
      <c r="BIF10" s="184">
        <f t="shared" si="622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3"/>
        <v>2992</v>
      </c>
      <c r="BIN10" s="184">
        <f t="shared" si="624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5"/>
        <v>5759</v>
      </c>
      <c r="BIV10" s="211">
        <f t="shared" si="626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7"/>
        <v>5756</v>
      </c>
      <c r="BJD10" s="211">
        <f t="shared" si="628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9"/>
        <v>4201</v>
      </c>
      <c r="BJL10" s="211">
        <f t="shared" si="630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1"/>
        <v>5502</v>
      </c>
      <c r="BJT10" s="184">
        <f t="shared" si="632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3"/>
        <v>6132</v>
      </c>
      <c r="BKB10" s="184">
        <f t="shared" si="634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5"/>
        <v>5991</v>
      </c>
      <c r="BKJ10" s="184">
        <f t="shared" si="636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7"/>
        <v>2876</v>
      </c>
      <c r="BKR10" s="184">
        <f t="shared" si="638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9"/>
        <v>3727</v>
      </c>
      <c r="BKZ10" s="211">
        <f t="shared" si="640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1"/>
        <v>3607</v>
      </c>
      <c r="BLH10" s="211">
        <f t="shared" si="642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3"/>
        <v>4198</v>
      </c>
      <c r="BLP10" s="184">
        <f t="shared" si="644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5"/>
        <v>5654</v>
      </c>
      <c r="BLX10" s="184">
        <f t="shared" si="646"/>
        <v>942.33333333333337</v>
      </c>
      <c r="BLY10" s="63"/>
      <c r="BLZ10" s="64"/>
      <c r="BMA10" s="64"/>
      <c r="BMB10" s="64"/>
      <c r="BMC10" s="64"/>
      <c r="BMD10" s="64"/>
      <c r="BME10" s="67">
        <f t="shared" si="647"/>
        <v>0</v>
      </c>
      <c r="BMF10" s="68">
        <f t="shared" si="648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9"/>
        <v>7621</v>
      </c>
      <c r="BMN10" s="68">
        <f t="shared" si="650"/>
        <v>1270.1666666666667</v>
      </c>
      <c r="BMO10" s="63"/>
      <c r="BMP10" s="64"/>
      <c r="BMQ10" s="64"/>
      <c r="BMR10" s="64"/>
      <c r="BMS10" s="64"/>
      <c r="BMT10" s="64"/>
      <c r="BMU10" s="67">
        <f t="shared" si="651"/>
        <v>0</v>
      </c>
      <c r="BMV10" s="68">
        <f t="shared" si="652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3"/>
        <v>7923</v>
      </c>
      <c r="BND10" s="68">
        <f t="shared" si="654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5"/>
        <v>2530</v>
      </c>
      <c r="BNL10" s="68">
        <f t="shared" si="656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7"/>
        <v>4966</v>
      </c>
      <c r="BNT10" s="68">
        <f t="shared" si="658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9"/>
        <v>1932</v>
      </c>
      <c r="BOB10" s="184">
        <f t="shared" si="660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1"/>
        <v>1275</v>
      </c>
      <c r="BOJ10" s="184">
        <f t="shared" si="662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3"/>
        <v>6372</v>
      </c>
      <c r="BOR10" s="68">
        <f t="shared" si="664"/>
        <v>1062</v>
      </c>
      <c r="BOS10" s="63"/>
      <c r="BOT10" s="64"/>
      <c r="BOU10" s="64"/>
      <c r="BOV10" s="64"/>
      <c r="BOW10" s="64"/>
      <c r="BOX10" s="64"/>
      <c r="BOY10" s="67">
        <f t="shared" si="665"/>
        <v>0</v>
      </c>
      <c r="BOZ10" s="68">
        <f t="shared" si="666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7"/>
        <v>3366</v>
      </c>
      <c r="BPH10" s="68">
        <f t="shared" si="668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9"/>
        <v>4255</v>
      </c>
      <c r="BPP10" s="68">
        <f t="shared" si="670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1"/>
        <v>6968</v>
      </c>
      <c r="BPX10" s="68">
        <f t="shared" si="672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3"/>
        <v>3555</v>
      </c>
      <c r="BQF10" s="68">
        <f t="shared" si="674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5"/>
        <v>5143</v>
      </c>
      <c r="BQN10" s="68">
        <f t="shared" si="676"/>
        <v>857.16666666666663</v>
      </c>
      <c r="BQO10" s="63"/>
      <c r="BQP10" s="64"/>
      <c r="BQQ10" s="64"/>
      <c r="BQR10" s="64"/>
      <c r="BQS10" s="64"/>
      <c r="BQT10" s="64"/>
      <c r="BQU10" s="67">
        <f t="shared" si="677"/>
        <v>0</v>
      </c>
      <c r="BQV10" s="68">
        <f t="shared" si="678"/>
        <v>0</v>
      </c>
      <c r="BQW10" s="63"/>
      <c r="BQX10" s="64"/>
      <c r="BQY10" s="64"/>
      <c r="BQZ10" s="64"/>
      <c r="BRA10" s="64"/>
      <c r="BRB10" s="64"/>
      <c r="BRC10" s="67">
        <f t="shared" si="679"/>
        <v>0</v>
      </c>
      <c r="BRD10" s="68">
        <f t="shared" si="680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1"/>
        <v>5002</v>
      </c>
      <c r="BRL10" s="68">
        <f t="shared" si="682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3"/>
        <v>2531</v>
      </c>
      <c r="BRT10" s="68">
        <f t="shared" si="684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5"/>
        <v>2657</v>
      </c>
      <c r="BSB10" s="68">
        <f t="shared" si="686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7"/>
        <v>4548</v>
      </c>
      <c r="BSJ10" s="68">
        <f t="shared" si="688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9"/>
        <v>4861</v>
      </c>
      <c r="BSR10" s="68">
        <f t="shared" si="690"/>
        <v>810.16666666666663</v>
      </c>
      <c r="BSS10" s="63"/>
      <c r="BST10" s="64"/>
      <c r="BSU10" s="64"/>
      <c r="BSV10" s="64"/>
      <c r="BSW10" s="64"/>
      <c r="BSX10" s="64"/>
      <c r="BSY10" s="67">
        <f t="shared" si="691"/>
        <v>0</v>
      </c>
      <c r="BSZ10" s="68">
        <f t="shared" si="692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3"/>
        <v>1512</v>
      </c>
      <c r="BTH10" s="68">
        <f t="shared" si="694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5"/>
        <v>3128</v>
      </c>
      <c r="BTP10" s="68">
        <f t="shared" si="696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7"/>
        <v>4512</v>
      </c>
      <c r="BTX10" s="184">
        <f t="shared" si="698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9"/>
        <v>4716</v>
      </c>
      <c r="BUF10" s="184">
        <f t="shared" si="700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1"/>
        <v>4407</v>
      </c>
      <c r="BUN10" s="211">
        <f t="shared" si="702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3"/>
        <v>7278</v>
      </c>
      <c r="BUV10" s="211">
        <f t="shared" si="704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5"/>
        <v>1944</v>
      </c>
      <c r="BVD10" s="211">
        <f t="shared" si="706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7"/>
        <v>1132</v>
      </c>
      <c r="BVL10" s="184">
        <f t="shared" si="708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9"/>
        <v>9027</v>
      </c>
      <c r="BVT10" s="211">
        <f t="shared" si="710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1"/>
        <v>4148</v>
      </c>
      <c r="BWB10" s="184">
        <f t="shared" si="712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3"/>
        <v>4913</v>
      </c>
      <c r="BWJ10" s="184">
        <f t="shared" si="714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5"/>
        <v>9109</v>
      </c>
      <c r="BWR10" s="211">
        <f t="shared" si="716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7"/>
        <v>3964</v>
      </c>
      <c r="BWZ10" s="211">
        <f t="shared" si="718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9"/>
        <v>3409</v>
      </c>
      <c r="BXH10" s="211">
        <f t="shared" si="720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1"/>
        <v>5994</v>
      </c>
      <c r="BXP10" s="184">
        <f t="shared" si="722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3"/>
        <v>7570</v>
      </c>
      <c r="BXX10" s="184">
        <f t="shared" si="724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5"/>
        <v>3181</v>
      </c>
      <c r="BYF10" s="211">
        <f t="shared" si="726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7"/>
        <v>1986</v>
      </c>
      <c r="BYN10" s="184">
        <f t="shared" si="728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9"/>
        <v>4199</v>
      </c>
      <c r="BYV10" s="211">
        <f t="shared" si="730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1"/>
        <v>2322</v>
      </c>
      <c r="BZD10" s="184">
        <f t="shared" si="732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3"/>
        <v>5064</v>
      </c>
      <c r="BZL10" s="184">
        <f t="shared" si="734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5"/>
        <v>7538</v>
      </c>
      <c r="BZT10" s="68">
        <f t="shared" si="736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7"/>
        <v>8313</v>
      </c>
      <c r="CAB10" s="68">
        <f t="shared" si="738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9"/>
        <v>6936</v>
      </c>
      <c r="CAJ10" s="68">
        <f t="shared" si="740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1"/>
        <v>6716</v>
      </c>
      <c r="CAR10" s="184">
        <f t="shared" si="742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3"/>
        <v>10131</v>
      </c>
      <c r="CAZ10" s="211">
        <f t="shared" si="744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5"/>
        <v>8414</v>
      </c>
      <c r="CBH10" s="211">
        <f t="shared" si="746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7"/>
        <v>3364</v>
      </c>
      <c r="CBP10" s="184">
        <f t="shared" si="748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9"/>
        <v>8603</v>
      </c>
      <c r="CBX10" s="68">
        <f t="shared" si="750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1"/>
        <v>8194</v>
      </c>
      <c r="CCF10" s="68">
        <f t="shared" si="752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3"/>
        <v>5974</v>
      </c>
      <c r="CCN10" s="68">
        <f t="shared" si="754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5"/>
        <v>3350</v>
      </c>
      <c r="CCV10" s="68">
        <f t="shared" si="756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7"/>
        <v>7425</v>
      </c>
      <c r="CDD10" s="68">
        <f t="shared" si="758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9"/>
        <v>3341</v>
      </c>
      <c r="CDL10" s="68">
        <f t="shared" si="760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1"/>
        <v>2516</v>
      </c>
      <c r="CDT10" s="68">
        <f t="shared" si="762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3"/>
        <v>3391</v>
      </c>
      <c r="CEB10" s="68">
        <f t="shared" si="764"/>
        <v>565.16666666666663</v>
      </c>
      <c r="CEC10" s="63"/>
      <c r="CED10" s="64"/>
      <c r="CEE10" s="64"/>
      <c r="CEF10" s="64"/>
      <c r="CEG10" s="64"/>
      <c r="CEH10" s="64"/>
      <c r="CEI10" s="67">
        <f t="shared" si="765"/>
        <v>0</v>
      </c>
      <c r="CEJ10" s="68">
        <f t="shared" si="766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7"/>
        <v>3370</v>
      </c>
      <c r="CER10" s="68">
        <f t="shared" si="768"/>
        <v>561.66666666666663</v>
      </c>
      <c r="CES10" s="63"/>
      <c r="CET10" s="64"/>
      <c r="CEU10" s="64"/>
      <c r="CEV10" s="64"/>
      <c r="CEW10" s="64"/>
      <c r="CEX10" s="64"/>
      <c r="CEY10" s="67">
        <f t="shared" si="769"/>
        <v>0</v>
      </c>
      <c r="CEZ10" s="68">
        <f t="shared" si="770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1"/>
        <v>2430</v>
      </c>
      <c r="CFH10" s="68">
        <f t="shared" si="772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3"/>
        <v>6973</v>
      </c>
      <c r="CFP10" s="68">
        <f t="shared" si="774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5"/>
        <v>3352</v>
      </c>
      <c r="CFX10" s="68">
        <f t="shared" si="776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7"/>
        <v>1977</v>
      </c>
      <c r="CGF10" s="68">
        <f t="shared" si="778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9"/>
        <v>3214</v>
      </c>
      <c r="CGN10" s="68">
        <f t="shared" si="780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1"/>
        <v>6741</v>
      </c>
      <c r="CGV10" s="68">
        <f t="shared" si="782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3"/>
        <v>6684</v>
      </c>
      <c r="CHD10" s="68">
        <f t="shared" si="784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5"/>
        <v>712</v>
      </c>
      <c r="CHL10" s="68">
        <f t="shared" si="786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7"/>
        <v>5135</v>
      </c>
      <c r="CHT10" s="68">
        <f t="shared" si="788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9"/>
        <v>2177</v>
      </c>
      <c r="CIB10" s="68">
        <f t="shared" si="790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1"/>
        <v>6775</v>
      </c>
      <c r="CIJ10" s="68">
        <f t="shared" si="792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3"/>
        <v>6</v>
      </c>
      <c r="CIR10" s="68">
        <f t="shared" si="794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5"/>
        <v>4095</v>
      </c>
      <c r="CIZ10" s="68">
        <f t="shared" si="796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7"/>
        <v>4081</v>
      </c>
      <c r="CJH10" s="68">
        <f t="shared" si="798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9"/>
        <v>3107</v>
      </c>
      <c r="CJP10" s="68">
        <f t="shared" si="800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1"/>
        <v>2499</v>
      </c>
      <c r="CJX10" s="68">
        <f t="shared" si="802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3"/>
        <v>8087</v>
      </c>
      <c r="CKF10" s="68">
        <f t="shared" si="804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5"/>
        <v>3</v>
      </c>
      <c r="CKN10" s="68">
        <f t="shared" si="806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7"/>
        <v>9987</v>
      </c>
      <c r="CKV10" s="68">
        <f t="shared" si="808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9"/>
        <v>5330</v>
      </c>
      <c r="CLD10" s="68">
        <f t="shared" si="810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1"/>
        <v>4078</v>
      </c>
      <c r="CLL10" s="68">
        <f t="shared" si="812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3"/>
        <v>2637</v>
      </c>
      <c r="CLT10" s="184">
        <f t="shared" si="814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5"/>
        <v>3402</v>
      </c>
      <c r="CMB10" s="68">
        <f t="shared" si="816"/>
        <v>567</v>
      </c>
      <c r="CMC10" s="63"/>
      <c r="CMD10" s="64"/>
      <c r="CME10" s="64"/>
      <c r="CMF10" s="64"/>
      <c r="CMG10" s="64"/>
      <c r="CMH10" s="64"/>
      <c r="CMI10" s="67">
        <f t="shared" si="817"/>
        <v>0</v>
      </c>
      <c r="CMJ10" s="68">
        <f t="shared" si="818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9"/>
        <v>3373</v>
      </c>
      <c r="CMR10" s="68">
        <f t="shared" si="820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1"/>
        <v>3343</v>
      </c>
      <c r="CMZ10" s="68">
        <f t="shared" si="822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3"/>
        <v>4792</v>
      </c>
      <c r="CNH10" s="68">
        <f t="shared" si="824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5"/>
        <v>6765</v>
      </c>
      <c r="CNP10" s="68">
        <f t="shared" si="826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7"/>
        <v>4999</v>
      </c>
      <c r="CNX10" s="68">
        <f t="shared" si="828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9"/>
        <v>3424</v>
      </c>
      <c r="COF10" s="68">
        <f t="shared" si="830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1"/>
        <v>5973</v>
      </c>
      <c r="CON10" s="68">
        <f t="shared" si="832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3"/>
        <v>5301</v>
      </c>
      <c r="COV10" s="68">
        <f t="shared" si="834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5"/>
        <v>3298</v>
      </c>
      <c r="CPD10" s="68">
        <f t="shared" si="836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7"/>
        <v>7847</v>
      </c>
      <c r="CPL10" s="68">
        <f t="shared" si="838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9"/>
        <v>3327</v>
      </c>
      <c r="CPT10" s="68">
        <f t="shared" si="840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1"/>
        <v>8429</v>
      </c>
      <c r="CQB10" s="68">
        <f t="shared" si="842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3"/>
        <v>6619</v>
      </c>
      <c r="CQJ10" s="68">
        <f t="shared" si="844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5"/>
        <v>6991</v>
      </c>
      <c r="CQR10" s="68">
        <f t="shared" si="846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7"/>
        <v>2511</v>
      </c>
      <c r="CQZ10" s="68">
        <f t="shared" si="848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9"/>
        <v>2884</v>
      </c>
      <c r="CRH10" s="68">
        <f t="shared" si="850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1"/>
        <v>1968</v>
      </c>
      <c r="CRP10" s="68">
        <f t="shared" si="852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3"/>
        <v>5651</v>
      </c>
      <c r="CRX10" s="68">
        <f t="shared" si="854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5"/>
        <v>2444</v>
      </c>
      <c r="CSF10" s="68">
        <f t="shared" si="856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7"/>
        <v>12698</v>
      </c>
      <c r="CSN10" s="68">
        <f t="shared" si="858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9"/>
        <v>9823</v>
      </c>
      <c r="CSV10" s="68">
        <f t="shared" si="860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1"/>
        <v>8930</v>
      </c>
      <c r="CTD10" s="68">
        <f t="shared" si="862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3"/>
        <v>9970</v>
      </c>
      <c r="CTL10" s="68">
        <f t="shared" si="864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5"/>
        <v>6933</v>
      </c>
      <c r="CTT10" s="68">
        <f t="shared" si="866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7"/>
        <v>2046</v>
      </c>
      <c r="CUB10" s="68">
        <f t="shared" si="868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9"/>
        <v>7553</v>
      </c>
      <c r="CUJ10" s="68">
        <f t="shared" si="870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1"/>
        <v>1023</v>
      </c>
      <c r="CUR10" s="68">
        <f t="shared" si="872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3"/>
        <v>5204</v>
      </c>
      <c r="CUZ10" s="68">
        <f t="shared" si="874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5"/>
        <v>5696</v>
      </c>
      <c r="CVH10" s="68">
        <f t="shared" si="876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7"/>
        <v>10147</v>
      </c>
      <c r="CVP10" s="68">
        <f t="shared" si="878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9"/>
        <v>6627</v>
      </c>
      <c r="CVX10" s="68">
        <f t="shared" si="880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1"/>
        <v>10427</v>
      </c>
      <c r="CWF10" s="68">
        <f t="shared" si="882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3"/>
        <v>7870</v>
      </c>
      <c r="CWN10" s="68">
        <f t="shared" si="884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5"/>
        <v>1389</v>
      </c>
      <c r="CWV10" s="43">
        <f t="shared" si="886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7"/>
        <v>4493</v>
      </c>
      <c r="CXD10" s="43">
        <f t="shared" si="888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9"/>
        <v>4968</v>
      </c>
      <c r="CXL10" s="43">
        <f t="shared" si="890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1"/>
        <v>5436</v>
      </c>
      <c r="CXT10" s="43">
        <f t="shared" si="892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3"/>
        <v>10244</v>
      </c>
      <c r="CYB10" s="43">
        <f t="shared" si="894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5"/>
        <v>6143</v>
      </c>
      <c r="CYJ10" s="43">
        <f t="shared" si="896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7"/>
        <v>6809</v>
      </c>
      <c r="CYR10" s="43">
        <f t="shared" si="898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9"/>
        <v>7720</v>
      </c>
      <c r="CYZ10" s="43">
        <f t="shared" si="900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1"/>
        <v>0</v>
      </c>
      <c r="CZH10" s="43">
        <f t="shared" si="902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3"/>
        <v>5141</v>
      </c>
      <c r="CZP10" s="43">
        <f t="shared" si="904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5"/>
        <v>4771</v>
      </c>
      <c r="CZX10" s="43">
        <f t="shared" si="906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7"/>
        <v>8755</v>
      </c>
      <c r="DAF10" s="43">
        <f t="shared" si="908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9"/>
        <v>8650</v>
      </c>
      <c r="DAN10" s="43">
        <f t="shared" si="910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1"/>
        <v>5956</v>
      </c>
      <c r="DAV10" s="68">
        <f t="shared" si="912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3"/>
        <v>5795</v>
      </c>
      <c r="DBD10" s="68">
        <f t="shared" si="914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5"/>
        <v>8030</v>
      </c>
      <c r="DBL10" s="68">
        <f t="shared" si="916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7"/>
        <v>14112</v>
      </c>
      <c r="DBT10" s="68">
        <f t="shared" si="918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9"/>
        <v>3556</v>
      </c>
      <c r="DCB10" s="184">
        <f t="shared" si="920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1"/>
        <v>7801</v>
      </c>
      <c r="DCJ10" s="211">
        <f t="shared" si="922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3"/>
        <v>7453</v>
      </c>
      <c r="DCR10" s="211">
        <f t="shared" si="924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5"/>
        <v>2820</v>
      </c>
      <c r="DCZ10" s="184">
        <f t="shared" si="926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7"/>
        <v>2109</v>
      </c>
      <c r="DDH10" s="211">
        <f t="shared" si="928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9"/>
        <v>1543</v>
      </c>
      <c r="DDP10" s="184">
        <f t="shared" si="930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1"/>
        <v>0</v>
      </c>
      <c r="DDX10" s="211">
        <f t="shared" si="932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3"/>
        <v>3330</v>
      </c>
      <c r="DEF10" s="214">
        <f t="shared" si="934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5"/>
        <v>0</v>
      </c>
      <c r="DEN10" s="101">
        <f t="shared" si="936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7"/>
        <v>2275</v>
      </c>
      <c r="DEV10" s="101">
        <f t="shared" si="938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9"/>
        <v>1693</v>
      </c>
      <c r="DFD10" s="43">
        <f t="shared" si="940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1"/>
        <v>2062</v>
      </c>
      <c r="DFL10" s="43">
        <f t="shared" si="942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3"/>
        <v>3649</v>
      </c>
      <c r="DFT10" s="43">
        <f t="shared" si="944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5"/>
        <v>2176</v>
      </c>
      <c r="DGB10" s="43">
        <f t="shared" si="946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7"/>
        <v>5240</v>
      </c>
      <c r="DGJ10" s="68">
        <f t="shared" si="948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9"/>
        <v>0</v>
      </c>
      <c r="DGR10" s="68">
        <f t="shared" si="950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1"/>
        <v>5447</v>
      </c>
      <c r="DGZ10" s="68">
        <f t="shared" si="952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3"/>
        <v>0</v>
      </c>
      <c r="DHH10" s="68">
        <f t="shared" si="954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5"/>
        <v>3374</v>
      </c>
      <c r="DHP10" s="68">
        <f t="shared" si="956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7"/>
        <v>993</v>
      </c>
      <c r="DHX10" s="68">
        <f t="shared" si="958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9"/>
        <v>4922</v>
      </c>
      <c r="DIF10" s="68">
        <f t="shared" si="960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1"/>
        <v>3286</v>
      </c>
      <c r="DIN10" s="68">
        <f t="shared" si="962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3"/>
        <v>3287</v>
      </c>
      <c r="DIV10" s="68">
        <f t="shared" si="964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5"/>
        <v>4577</v>
      </c>
      <c r="DJD10" s="68">
        <f t="shared" si="966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7"/>
        <v>5177</v>
      </c>
      <c r="DJL10" s="68">
        <f t="shared" si="968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9"/>
        <v>9186</v>
      </c>
      <c r="DJT10" s="68">
        <f t="shared" si="970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1"/>
        <v>2694</v>
      </c>
      <c r="DKB10" s="68">
        <f t="shared" si="972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3"/>
        <v>5455</v>
      </c>
      <c r="DKJ10" s="68">
        <f t="shared" si="974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5"/>
        <v>1500</v>
      </c>
      <c r="DKR10" s="68">
        <f t="shared" si="976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7"/>
        <v>5575</v>
      </c>
      <c r="DKZ10" s="68">
        <f t="shared" si="978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9"/>
        <v>4441</v>
      </c>
      <c r="DLH10" s="68">
        <f t="shared" si="980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1"/>
        <v>847</v>
      </c>
      <c r="DLP10" s="68">
        <f t="shared" si="982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3"/>
        <v>1774</v>
      </c>
      <c r="DLX10" s="68">
        <f t="shared" si="984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5"/>
        <v>1274</v>
      </c>
      <c r="DMF10" s="68">
        <f t="shared" si="986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7"/>
        <v>6792</v>
      </c>
      <c r="DMN10" s="68">
        <f t="shared" si="988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9"/>
        <v>2045</v>
      </c>
      <c r="DMV10" s="68">
        <f t="shared" si="990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1"/>
        <v>5877</v>
      </c>
      <c r="DND10" s="68">
        <f t="shared" si="992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3"/>
        <v>7387</v>
      </c>
      <c r="DNL10" s="68">
        <f t="shared" si="994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5"/>
        <v>4887</v>
      </c>
      <c r="DNT10" s="68">
        <f t="shared" si="996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7"/>
        <v>3989</v>
      </c>
      <c r="DOB10" s="68">
        <f t="shared" si="998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9"/>
        <v>1591</v>
      </c>
      <c r="DOJ10" s="68">
        <f t="shared" si="1000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1"/>
        <v>7496</v>
      </c>
      <c r="DOR10" s="68">
        <f t="shared" si="1002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3"/>
        <v>3442</v>
      </c>
      <c r="DOZ10" s="68">
        <f t="shared" si="1004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5"/>
        <v>5936</v>
      </c>
      <c r="DPH10" s="68">
        <f t="shared" si="1006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7"/>
        <v>5</v>
      </c>
      <c r="DPP10" s="68">
        <f t="shared" si="1008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9"/>
        <v>2620</v>
      </c>
      <c r="DPX10" s="68">
        <f t="shared" si="1010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11"/>
        <v>2032</v>
      </c>
      <c r="DQF10" s="68">
        <f t="shared" si="1012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3"/>
        <v>3915</v>
      </c>
      <c r="DQN10" s="68">
        <f t="shared" si="1014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5"/>
        <v>5211</v>
      </c>
      <c r="DQV10" s="68">
        <f t="shared" si="1016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7"/>
        <v>8428</v>
      </c>
      <c r="DRD10" s="68">
        <f t="shared" si="1018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9"/>
        <v>2591</v>
      </c>
      <c r="DRL10" s="68">
        <f t="shared" si="1020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1"/>
        <v>0</v>
      </c>
      <c r="DRT10" s="68">
        <f t="shared" si="1022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3"/>
        <v>0</v>
      </c>
      <c r="DSB10" s="68">
        <f t="shared" si="1024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5"/>
        <v>4254</v>
      </c>
      <c r="DSJ10" s="68">
        <f t="shared" si="1026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7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8"/>
        <v>2534</v>
      </c>
      <c r="DSZ10" s="68">
        <f t="shared" si="1029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30"/>
        <v>3392</v>
      </c>
      <c r="DTH10" s="68">
        <f t="shared" si="1031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2"/>
        <v>2712</v>
      </c>
      <c r="DTP10" s="68">
        <f t="shared" si="1033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4"/>
        <v>5</v>
      </c>
      <c r="DTX10" s="68">
        <f t="shared" si="1035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6"/>
        <v>2907</v>
      </c>
      <c r="DUF10" s="68">
        <f t="shared" si="1037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8"/>
        <v>0</v>
      </c>
      <c r="DUN10" s="68">
        <f t="shared" si="1039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40"/>
        <v>3492</v>
      </c>
      <c r="DUV10" s="68">
        <f t="shared" si="1041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2"/>
        <v>3613</v>
      </c>
      <c r="DVD10" s="68">
        <f t="shared" si="1043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4"/>
        <v>4365</v>
      </c>
      <c r="DVL10" s="68">
        <f t="shared" si="1045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6"/>
        <v>3396</v>
      </c>
      <c r="DVT10" s="68">
        <f t="shared" si="1047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8"/>
        <v>3812</v>
      </c>
      <c r="DWB10" s="68">
        <f t="shared" si="1049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50"/>
        <v>1686</v>
      </c>
      <c r="DWJ10" s="68">
        <f t="shared" si="1051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2"/>
        <v>4235</v>
      </c>
      <c r="DWR10" s="68">
        <f t="shared" si="1053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4"/>
        <v>5039</v>
      </c>
      <c r="DWZ10" s="68">
        <f t="shared" si="1055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6"/>
        <v>3053</v>
      </c>
      <c r="DXH10" s="68">
        <f t="shared" si="1057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8"/>
        <v>3924</v>
      </c>
      <c r="DXP10" s="68">
        <f t="shared" si="1059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60"/>
        <v>4783</v>
      </c>
      <c r="DXX10" s="68">
        <f t="shared" si="1061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2"/>
        <v>848</v>
      </c>
      <c r="DYF10" s="68">
        <f t="shared" si="1063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4"/>
        <v>2513</v>
      </c>
      <c r="DYN10" s="68">
        <f t="shared" si="1065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6"/>
        <v>6753</v>
      </c>
      <c r="DYV10" s="68">
        <f t="shared" si="1067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8"/>
        <v>3533</v>
      </c>
      <c r="DZD10" s="68">
        <f t="shared" si="1069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70"/>
        <v>4414</v>
      </c>
      <c r="DZL10" s="68">
        <f t="shared" si="1071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2"/>
        <v>4779</v>
      </c>
      <c r="DZT10" s="68">
        <f t="shared" si="1073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4"/>
        <v>5792</v>
      </c>
      <c r="EAB10" s="68">
        <f t="shared" si="1075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6"/>
        <v>3928</v>
      </c>
      <c r="EAJ10" s="68">
        <f t="shared" si="1077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8"/>
        <v>6185</v>
      </c>
      <c r="EAR10" s="68">
        <f t="shared" si="1079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80"/>
        <v>5167</v>
      </c>
      <c r="EAZ10" s="68">
        <f t="shared" si="1081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2"/>
        <v>4027</v>
      </c>
      <c r="EBH10" s="68">
        <f t="shared" si="1083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4"/>
        <v>3747</v>
      </c>
      <c r="EBP10" s="68">
        <f t="shared" si="1085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6"/>
        <v>3985</v>
      </c>
      <c r="EBX10" s="68">
        <f t="shared" si="1087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8"/>
        <v>0</v>
      </c>
      <c r="ECF10" s="68">
        <f t="shared" si="1089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90"/>
        <v>0</v>
      </c>
      <c r="ECN10" s="68">
        <f t="shared" si="1091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2"/>
        <v>3349</v>
      </c>
      <c r="ECV10" s="68">
        <f t="shared" si="1093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4"/>
        <v>2996</v>
      </c>
      <c r="EDD10" s="68">
        <f t="shared" si="1095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6"/>
        <v>1328</v>
      </c>
      <c r="EDL10" s="68">
        <f t="shared" si="1097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8"/>
        <v>1354</v>
      </c>
      <c r="EDT10" s="68">
        <f t="shared" si="1099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100"/>
        <v>384</v>
      </c>
      <c r="EEB10" s="68">
        <f t="shared" si="1101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2"/>
        <v>1986</v>
      </c>
      <c r="EEJ10" s="68">
        <f t="shared" si="1103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4"/>
        <v>1001</v>
      </c>
      <c r="EER10" s="68">
        <f t="shared" si="1105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6"/>
        <v>3540</v>
      </c>
      <c r="EEZ10" s="68">
        <f t="shared" si="1107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8"/>
        <v>7537</v>
      </c>
      <c r="EFH10" s="68">
        <f t="shared" si="1109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10"/>
        <v>3589</v>
      </c>
      <c r="EFP10" s="68">
        <f t="shared" si="1111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2"/>
        <v>3947</v>
      </c>
      <c r="EFX10" s="68">
        <f t="shared" si="1113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4"/>
        <v>8076</v>
      </c>
      <c r="EGF10" s="68">
        <f t="shared" si="1115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6"/>
        <v>3339</v>
      </c>
      <c r="EGN10" s="68">
        <f t="shared" si="1117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8"/>
        <v>3812</v>
      </c>
      <c r="EGV10" s="68">
        <f t="shared" si="1119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20"/>
        <v>3686</v>
      </c>
      <c r="EHD10" s="68">
        <f t="shared" si="1121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2"/>
        <v>1032</v>
      </c>
      <c r="EHL10" s="68">
        <f t="shared" si="1123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4"/>
        <v>2981</v>
      </c>
      <c r="EHT10" s="68">
        <f t="shared" si="1125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6"/>
        <v>5667</v>
      </c>
      <c r="EIB10" s="68">
        <f t="shared" si="1127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8"/>
        <v>0</v>
      </c>
      <c r="EIJ10" s="68">
        <f t="shared" si="1129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30"/>
        <v>2786</v>
      </c>
      <c r="EIR10" s="68">
        <f t="shared" si="1131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2"/>
        <v>1032</v>
      </c>
      <c r="EIZ10" s="68">
        <f t="shared" si="1133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4"/>
        <v>2540</v>
      </c>
      <c r="EJH10" s="68">
        <f t="shared" si="1135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6"/>
        <v>1532</v>
      </c>
      <c r="EJP10" s="68">
        <f t="shared" si="1137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8"/>
        <v>3014</v>
      </c>
      <c r="EJX10" s="68">
        <f t="shared" si="1139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40"/>
        <v>5593</v>
      </c>
      <c r="EKF10" s="68">
        <f t="shared" si="1141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2"/>
        <v>8272</v>
      </c>
      <c r="EKN10" s="68">
        <f t="shared" si="1143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4"/>
        <v>6053</v>
      </c>
      <c r="EKV10" s="68">
        <f t="shared" si="1145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6"/>
        <v>1585</v>
      </c>
      <c r="ELD10" s="68">
        <f t="shared" si="1147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8"/>
        <v>5474</v>
      </c>
      <c r="ELL10" s="184">
        <f t="shared" si="1149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50"/>
        <v>4760</v>
      </c>
      <c r="ELU10" s="211">
        <f t="shared" si="1151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2"/>
        <v>1811</v>
      </c>
      <c r="EMC10" s="211">
        <f t="shared" si="1153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4"/>
        <v>5058</v>
      </c>
      <c r="EMK10" s="211">
        <f t="shared" si="1155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6"/>
        <v>1123</v>
      </c>
      <c r="EMS10" s="211">
        <f t="shared" si="1157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8"/>
        <v>2658</v>
      </c>
      <c r="ENA10" s="211">
        <f t="shared" si="1159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60"/>
        <v>3272</v>
      </c>
      <c r="ENI10" s="211">
        <f t="shared" si="1161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2"/>
        <v>1709</v>
      </c>
      <c r="ENQ10" s="211">
        <f t="shared" si="1163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4"/>
        <v>1695</v>
      </c>
      <c r="ENY10" s="211">
        <f t="shared" si="1165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6"/>
        <v>4667</v>
      </c>
      <c r="EOG10" s="211">
        <f t="shared" si="1167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8"/>
        <v>1777</v>
      </c>
      <c r="EOO10" s="211">
        <f t="shared" si="1169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70"/>
        <v>1448</v>
      </c>
      <c r="EOW10" s="211">
        <f t="shared" si="1171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2"/>
        <v>6392</v>
      </c>
      <c r="EPE10" s="211">
        <f t="shared" si="1173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4"/>
        <v>0</v>
      </c>
      <c r="EPM10" s="211">
        <f t="shared" si="1175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6"/>
        <v>1028</v>
      </c>
      <c r="EPU10" s="211">
        <f t="shared" si="1177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8"/>
        <v>3830</v>
      </c>
      <c r="EQC10" s="211">
        <f t="shared" si="1179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80"/>
        <v>724</v>
      </c>
      <c r="EQK10" s="211">
        <f t="shared" si="1181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2"/>
        <v>2729</v>
      </c>
      <c r="EQS10" s="211">
        <f t="shared" si="1183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4"/>
        <v>1673</v>
      </c>
      <c r="ERA10" s="211">
        <f t="shared" si="1185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6"/>
        <v>2587</v>
      </c>
      <c r="ERI10" s="211">
        <f t="shared" si="1187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8"/>
        <v>839</v>
      </c>
      <c r="ERQ10" s="211">
        <f t="shared" si="1189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90"/>
        <v>2055</v>
      </c>
      <c r="ERY10" s="211">
        <f t="shared" si="1191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2"/>
        <v>982</v>
      </c>
      <c r="ESG10" s="211">
        <f t="shared" si="1193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4"/>
        <v>2743</v>
      </c>
      <c r="ESO10" s="211">
        <f t="shared" si="1195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6"/>
        <v>3548</v>
      </c>
      <c r="ESW10" s="211">
        <f t="shared" si="1197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8"/>
        <v>4179</v>
      </c>
      <c r="ETE10" s="736">
        <f t="shared" si="1199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200"/>
        <v>814</v>
      </c>
      <c r="ETM10" s="211">
        <f t="shared" si="1201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2"/>
        <v>6624</v>
      </c>
      <c r="ETU10" s="211">
        <f t="shared" si="1203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4"/>
        <v>4330</v>
      </c>
      <c r="EUC10" s="211">
        <f t="shared" si="1205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6"/>
        <v>2587</v>
      </c>
      <c r="EUK10" s="211">
        <f t="shared" si="1207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8"/>
        <v>3067</v>
      </c>
      <c r="EUS10" s="211">
        <f t="shared" si="1209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10"/>
        <v>3321</v>
      </c>
      <c r="EVA10" s="211">
        <f t="shared" si="1211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2"/>
        <v>6997</v>
      </c>
      <c r="EVI10" s="211">
        <f t="shared" si="1213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4"/>
        <v>906</v>
      </c>
      <c r="EVQ10" s="211">
        <f t="shared" si="1215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6"/>
        <v>5557</v>
      </c>
      <c r="EVY10" s="211">
        <f t="shared" si="1217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8"/>
        <v>2481</v>
      </c>
      <c r="EWG10" s="211">
        <f t="shared" si="1219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20"/>
        <v>5545</v>
      </c>
      <c r="EWO10" s="211">
        <f t="shared" si="1221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2"/>
        <v>4365</v>
      </c>
      <c r="EWW10" s="211">
        <f t="shared" si="1223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4"/>
        <v>1297</v>
      </c>
      <c r="EXE10" s="211">
        <f t="shared" si="1225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6"/>
        <v>2344</v>
      </c>
      <c r="EXM10" s="211">
        <f t="shared" si="1227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8"/>
        <v>3006</v>
      </c>
      <c r="EXU10" s="211">
        <f t="shared" si="1229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30"/>
        <v>3676</v>
      </c>
      <c r="EYC10" s="211">
        <f t="shared" si="1231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2"/>
        <v>3854</v>
      </c>
      <c r="EYK10" s="211">
        <f t="shared" si="1233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4"/>
        <v>894</v>
      </c>
      <c r="EYS10" s="211">
        <f t="shared" si="1235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6"/>
        <v>4561</v>
      </c>
      <c r="EZA10" s="211">
        <f t="shared" si="1237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8"/>
        <v>6067</v>
      </c>
      <c r="EZI10" s="211">
        <f t="shared" si="1239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40"/>
        <v>5229</v>
      </c>
      <c r="EZQ10" s="873">
        <f t="shared" si="1241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2"/>
        <v>3233</v>
      </c>
      <c r="EZY10" s="873">
        <f t="shared" si="1243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4"/>
        <v>0</v>
      </c>
      <c r="FAG10" s="873">
        <f t="shared" si="1245"/>
        <v>0</v>
      </c>
      <c r="FAH10" s="195">
        <v>0</v>
      </c>
      <c r="FAI10" s="49">
        <v>0</v>
      </c>
      <c r="FAJ10" s="49">
        <v>1250</v>
      </c>
      <c r="FAK10" s="49">
        <v>0</v>
      </c>
      <c r="FAL10" s="49">
        <v>2453</v>
      </c>
      <c r="FAM10" s="49">
        <v>438</v>
      </c>
      <c r="FAN10" s="872">
        <f t="shared" si="1246"/>
        <v>4141</v>
      </c>
      <c r="FAO10" s="873">
        <f t="shared" si="1247"/>
        <v>690.16666666666663</v>
      </c>
      <c r="FAP10" s="195">
        <v>0</v>
      </c>
      <c r="FAQ10" s="49">
        <v>0</v>
      </c>
      <c r="FAR10" s="49"/>
      <c r="FAS10" s="49"/>
      <c r="FAT10" s="49"/>
      <c r="FAU10" s="49"/>
      <c r="FAV10" s="872">
        <f t="shared" si="1248"/>
        <v>0</v>
      </c>
      <c r="FAW10" s="873">
        <f t="shared" si="1249"/>
        <v>0</v>
      </c>
    </row>
    <row r="11" spans="1:4105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5982</v>
      </c>
      <c r="G11" s="24"/>
      <c r="H11" s="24"/>
      <c r="I11" s="360"/>
      <c r="J11" s="360">
        <f>SUMIF(SUMPK!$B:$B,$B:$B,SUMPK!$O:$O)</f>
        <v>675</v>
      </c>
      <c r="K11" s="24"/>
      <c r="L11" s="24">
        <f t="shared" si="569"/>
        <v>5307</v>
      </c>
      <c r="M11" s="24">
        <f t="shared" si="570"/>
        <v>5307</v>
      </c>
      <c r="N11" s="15">
        <v>468.83333333333331</v>
      </c>
      <c r="O11" s="276">
        <f t="shared" si="0"/>
        <v>11.31958762886598</v>
      </c>
      <c r="P11" s="15">
        <v>449</v>
      </c>
      <c r="Q11" s="276">
        <f t="shared" si="571"/>
        <v>70.917594654788417</v>
      </c>
      <c r="R11" s="277">
        <f t="shared" si="572"/>
        <v>269.23076923076923</v>
      </c>
      <c r="S11" s="222">
        <v>7000</v>
      </c>
      <c r="T11" s="276">
        <f t="shared" si="573"/>
        <v>19.711714285714287</v>
      </c>
      <c r="U11" s="278"/>
      <c r="V11" s="277">
        <f t="shared" si="1"/>
        <v>19.711714285714287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4"/>
        <v>0</v>
      </c>
      <c r="BAV11" s="43">
        <f t="shared" si="575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6"/>
        <v>481</v>
      </c>
      <c r="BBD11" s="43">
        <f t="shared" si="577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8"/>
        <v>983</v>
      </c>
      <c r="BBL11" s="43">
        <f t="shared" si="579"/>
        <v>163.83333333333334</v>
      </c>
      <c r="BBM11" s="48"/>
      <c r="BBN11" s="49"/>
      <c r="BBO11" s="49"/>
      <c r="BBP11" s="49"/>
      <c r="BBQ11" s="49"/>
      <c r="BBR11" s="49"/>
      <c r="BBS11" s="42">
        <f t="shared" si="580"/>
        <v>0</v>
      </c>
      <c r="BBT11" s="43">
        <f t="shared" si="581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2"/>
        <v>591</v>
      </c>
      <c r="BCB11" s="43">
        <f t="shared" si="583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4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5"/>
        <v>594</v>
      </c>
      <c r="BCR11" s="43">
        <f t="shared" si="586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7"/>
        <v>200</v>
      </c>
      <c r="BCZ11" s="43">
        <f t="shared" si="588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9"/>
        <v>281</v>
      </c>
      <c r="BDH11" s="43">
        <f t="shared" si="590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1"/>
        <v>596</v>
      </c>
      <c r="BDP11" s="43">
        <f t="shared" si="592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3"/>
        <v>120</v>
      </c>
      <c r="BDX11" s="43">
        <f t="shared" si="594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5"/>
        <v>300</v>
      </c>
      <c r="BEF11" s="43">
        <f t="shared" si="596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7"/>
        <v>478</v>
      </c>
      <c r="BEN11" s="43">
        <f t="shared" si="598"/>
        <v>79.666666666666671</v>
      </c>
      <c r="BEO11" s="48"/>
      <c r="BEP11" s="49"/>
      <c r="BEQ11" s="49"/>
      <c r="BER11" s="49"/>
      <c r="BES11" s="49"/>
      <c r="BET11" s="49"/>
      <c r="BEU11" s="42">
        <f t="shared" si="599"/>
        <v>0</v>
      </c>
      <c r="BEV11" s="43">
        <f t="shared" si="600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1"/>
        <v>0</v>
      </c>
      <c r="BFD11" s="43">
        <f t="shared" si="602"/>
        <v>0</v>
      </c>
      <c r="BFE11" s="63"/>
      <c r="BFF11" s="64"/>
      <c r="BFG11" s="64"/>
      <c r="BFH11" s="64"/>
      <c r="BFI11" s="64"/>
      <c r="BFJ11" s="64"/>
      <c r="BFK11" s="67">
        <f t="shared" si="603"/>
        <v>0</v>
      </c>
      <c r="BFL11" s="68">
        <f t="shared" si="604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5"/>
        <v>1283</v>
      </c>
      <c r="BFT11" s="68">
        <f t="shared" si="606"/>
        <v>213.83333333333334</v>
      </c>
      <c r="BFU11" s="48"/>
      <c r="BFV11" s="49"/>
      <c r="BFW11" s="49"/>
      <c r="BFX11" s="49"/>
      <c r="BFY11" s="49"/>
      <c r="BFZ11" s="49"/>
      <c r="BGA11" s="67">
        <f t="shared" si="607"/>
        <v>0</v>
      </c>
      <c r="BGB11" s="68">
        <f t="shared" si="608"/>
        <v>0</v>
      </c>
      <c r="BGC11" s="48"/>
      <c r="BGD11" s="49"/>
      <c r="BGE11" s="49"/>
      <c r="BGF11" s="49"/>
      <c r="BGG11" s="49"/>
      <c r="BGH11" s="49"/>
      <c r="BGI11" s="67">
        <f t="shared" si="609"/>
        <v>0</v>
      </c>
      <c r="BGJ11" s="68">
        <f t="shared" si="610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1"/>
        <v>823</v>
      </c>
      <c r="BGR11" s="68">
        <f t="shared" si="612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3"/>
        <v>799</v>
      </c>
      <c r="BGZ11" s="68">
        <f t="shared" si="614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5"/>
        <v>638</v>
      </c>
      <c r="BHH11" s="68">
        <f t="shared" si="616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7"/>
        <v>922</v>
      </c>
      <c r="BHP11" s="184">
        <f t="shared" si="618"/>
        <v>153.66666666666666</v>
      </c>
      <c r="BHQ11" s="244"/>
      <c r="BHR11" s="64"/>
      <c r="BHS11" s="64"/>
      <c r="BHT11" s="64"/>
      <c r="BHU11" s="64"/>
      <c r="BHV11" s="64"/>
      <c r="BHW11" s="67">
        <f t="shared" si="619"/>
        <v>0</v>
      </c>
      <c r="BHX11" s="211">
        <f t="shared" si="620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1"/>
        <v>989</v>
      </c>
      <c r="BIF11" s="184">
        <f t="shared" si="622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3"/>
        <v>2</v>
      </c>
      <c r="BIN11" s="184">
        <f t="shared" si="624"/>
        <v>0.33333333333333331</v>
      </c>
      <c r="BIO11" s="195"/>
      <c r="BIP11" s="49"/>
      <c r="BIQ11" s="49"/>
      <c r="BIR11" s="49"/>
      <c r="BIS11" s="49"/>
      <c r="BIT11" s="49"/>
      <c r="BIU11" s="67">
        <f t="shared" si="625"/>
        <v>0</v>
      </c>
      <c r="BIV11" s="211">
        <f t="shared" si="626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7"/>
        <v>877</v>
      </c>
      <c r="BJD11" s="211">
        <f t="shared" si="628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9"/>
        <v>812</v>
      </c>
      <c r="BJL11" s="211">
        <f t="shared" si="630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1"/>
        <v>1</v>
      </c>
      <c r="BJT11" s="184">
        <f t="shared" si="632"/>
        <v>0.16666666666666666</v>
      </c>
      <c r="BJU11" s="195"/>
      <c r="BJV11" s="49"/>
      <c r="BJW11" s="49"/>
      <c r="BJX11" s="49"/>
      <c r="BJY11" s="49"/>
      <c r="BJZ11" s="49"/>
      <c r="BKA11" s="67">
        <f t="shared" si="633"/>
        <v>0</v>
      </c>
      <c r="BKB11" s="184">
        <f t="shared" si="634"/>
        <v>0</v>
      </c>
      <c r="BKC11" s="195"/>
      <c r="BKD11" s="49"/>
      <c r="BKE11" s="49"/>
      <c r="BKF11" s="49"/>
      <c r="BKG11" s="49"/>
      <c r="BKH11" s="49"/>
      <c r="BKI11" s="67">
        <f t="shared" si="635"/>
        <v>0</v>
      </c>
      <c r="BKJ11" s="184">
        <f t="shared" si="636"/>
        <v>0</v>
      </c>
      <c r="BKK11" s="244"/>
      <c r="BKL11" s="64"/>
      <c r="BKM11" s="64"/>
      <c r="BKN11" s="64"/>
      <c r="BKO11" s="64"/>
      <c r="BKP11" s="64"/>
      <c r="BKQ11" s="67">
        <f t="shared" si="637"/>
        <v>0</v>
      </c>
      <c r="BKR11" s="184">
        <f t="shared" si="638"/>
        <v>0</v>
      </c>
      <c r="BKS11" s="195"/>
      <c r="BKT11" s="49"/>
      <c r="BKU11" s="49"/>
      <c r="BKV11" s="49"/>
      <c r="BKW11" s="49"/>
      <c r="BKX11" s="49"/>
      <c r="BKY11" s="67">
        <f t="shared" si="639"/>
        <v>0</v>
      </c>
      <c r="BKZ11" s="211">
        <f t="shared" si="640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1"/>
        <v>1042</v>
      </c>
      <c r="BLH11" s="211">
        <f t="shared" si="642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3"/>
        <v>0</v>
      </c>
      <c r="BLP11" s="184">
        <f t="shared" si="644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5"/>
        <v>0</v>
      </c>
      <c r="BLX11" s="184">
        <f t="shared" si="646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7"/>
        <v>2304</v>
      </c>
      <c r="BMF11" s="68">
        <f t="shared" si="648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9"/>
        <v>1680</v>
      </c>
      <c r="BMN11" s="68">
        <f t="shared" si="650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1"/>
        <v>0</v>
      </c>
      <c r="BMV11" s="68">
        <f t="shared" si="652"/>
        <v>0</v>
      </c>
      <c r="BMW11" s="63"/>
      <c r="BMX11" s="64"/>
      <c r="BMY11" s="64"/>
      <c r="BMZ11" s="64"/>
      <c r="BNA11" s="64"/>
      <c r="BNB11" s="64"/>
      <c r="BNC11" s="67">
        <f t="shared" si="653"/>
        <v>0</v>
      </c>
      <c r="BND11" s="68">
        <f t="shared" si="654"/>
        <v>0</v>
      </c>
      <c r="BNE11" s="63"/>
      <c r="BNF11" s="64"/>
      <c r="BNG11" s="64"/>
      <c r="BNH11" s="64"/>
      <c r="BNI11" s="64"/>
      <c r="BNJ11" s="64"/>
      <c r="BNK11" s="67">
        <f t="shared" si="655"/>
        <v>0</v>
      </c>
      <c r="BNL11" s="68">
        <f t="shared" si="656"/>
        <v>0</v>
      </c>
      <c r="BNM11" s="54"/>
      <c r="BNN11" s="127"/>
      <c r="BNO11" s="127"/>
      <c r="BNP11" s="127"/>
      <c r="BNQ11" s="127"/>
      <c r="BNR11" s="127"/>
      <c r="BNS11" s="67">
        <f t="shared" si="657"/>
        <v>0</v>
      </c>
      <c r="BNT11" s="68">
        <f t="shared" si="658"/>
        <v>0</v>
      </c>
      <c r="BNU11" s="63"/>
      <c r="BNV11" s="64"/>
      <c r="BNW11" s="64"/>
      <c r="BNX11" s="64"/>
      <c r="BNY11" s="64"/>
      <c r="BNZ11" s="64"/>
      <c r="BOA11" s="67">
        <f t="shared" si="659"/>
        <v>0</v>
      </c>
      <c r="BOB11" s="184">
        <f t="shared" si="660"/>
        <v>0</v>
      </c>
      <c r="BOC11" s="244"/>
      <c r="BOD11" s="64"/>
      <c r="BOE11" s="64"/>
      <c r="BOF11" s="64"/>
      <c r="BOG11" s="64"/>
      <c r="BOH11" s="64"/>
      <c r="BOI11" s="67">
        <f t="shared" si="661"/>
        <v>0</v>
      </c>
      <c r="BOJ11" s="184">
        <f t="shared" si="662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3"/>
        <v>1041</v>
      </c>
      <c r="BOR11" s="68">
        <f t="shared" si="664"/>
        <v>173.5</v>
      </c>
      <c r="BOS11" s="63"/>
      <c r="BOT11" s="64"/>
      <c r="BOU11" s="64"/>
      <c r="BOV11" s="64"/>
      <c r="BOW11" s="64"/>
      <c r="BOX11" s="64"/>
      <c r="BOY11" s="67">
        <f t="shared" si="665"/>
        <v>0</v>
      </c>
      <c r="BOZ11" s="68">
        <f t="shared" si="666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7"/>
        <v>2290</v>
      </c>
      <c r="BPH11" s="68">
        <f t="shared" si="668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9"/>
        <v>114</v>
      </c>
      <c r="BPP11" s="68">
        <f t="shared" si="670"/>
        <v>19</v>
      </c>
      <c r="BPQ11" s="63"/>
      <c r="BPR11" s="64"/>
      <c r="BPS11" s="64"/>
      <c r="BPT11" s="64"/>
      <c r="BPU11" s="64"/>
      <c r="BPV11" s="64"/>
      <c r="BPW11" s="67">
        <f t="shared" si="671"/>
        <v>0</v>
      </c>
      <c r="BPX11" s="68">
        <f t="shared" si="672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3"/>
        <v>676</v>
      </c>
      <c r="BQF11" s="68">
        <f t="shared" si="674"/>
        <v>112.66666666666667</v>
      </c>
      <c r="BQG11" s="63"/>
      <c r="BQH11" s="64"/>
      <c r="BQI11" s="64"/>
      <c r="BQJ11" s="64"/>
      <c r="BQK11" s="64"/>
      <c r="BQL11" s="64"/>
      <c r="BQM11" s="67">
        <f t="shared" si="675"/>
        <v>0</v>
      </c>
      <c r="BQN11" s="68">
        <f t="shared" si="676"/>
        <v>0</v>
      </c>
      <c r="BQO11" s="63"/>
      <c r="BQP11" s="64"/>
      <c r="BQQ11" s="64"/>
      <c r="BQR11" s="64"/>
      <c r="BQS11" s="64"/>
      <c r="BQT11" s="64"/>
      <c r="BQU11" s="67">
        <f t="shared" si="677"/>
        <v>0</v>
      </c>
      <c r="BQV11" s="68">
        <f t="shared" si="678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9"/>
        <v>0</v>
      </c>
      <c r="BRD11" s="68">
        <f t="shared" si="680"/>
        <v>0</v>
      </c>
      <c r="BRE11" s="63"/>
      <c r="BRF11" s="64"/>
      <c r="BRG11" s="64"/>
      <c r="BRH11" s="64"/>
      <c r="BRI11" s="64"/>
      <c r="BRJ11" s="64"/>
      <c r="BRK11" s="67">
        <f t="shared" si="681"/>
        <v>0</v>
      </c>
      <c r="BRL11" s="68">
        <f t="shared" si="682"/>
        <v>0</v>
      </c>
      <c r="BRM11" s="63"/>
      <c r="BRN11" s="64"/>
      <c r="BRO11" s="64"/>
      <c r="BRP11" s="64"/>
      <c r="BRQ11" s="64"/>
      <c r="BRR11" s="64"/>
      <c r="BRS11" s="67">
        <f t="shared" si="683"/>
        <v>0</v>
      </c>
      <c r="BRT11" s="68">
        <f t="shared" si="684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5"/>
        <v>918</v>
      </c>
      <c r="BSB11" s="68">
        <f t="shared" si="686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7"/>
        <v>1421</v>
      </c>
      <c r="BSJ11" s="68">
        <f t="shared" si="688"/>
        <v>236.83333333333334</v>
      </c>
      <c r="BSK11" s="63"/>
      <c r="BSL11" s="64"/>
      <c r="BSM11" s="64"/>
      <c r="BSN11" s="64"/>
      <c r="BSO11" s="64"/>
      <c r="BSP11" s="68"/>
      <c r="BSQ11" s="265">
        <f t="shared" si="689"/>
        <v>0</v>
      </c>
      <c r="BSR11" s="68">
        <f t="shared" si="690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1"/>
        <v>1704</v>
      </c>
      <c r="BSZ11" s="68">
        <f t="shared" si="692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3"/>
        <v>415</v>
      </c>
      <c r="BTH11" s="68">
        <f t="shared" si="694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5"/>
        <v>160</v>
      </c>
      <c r="BTP11" s="68">
        <f t="shared" si="696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7"/>
        <v>848</v>
      </c>
      <c r="BTX11" s="184">
        <f t="shared" si="698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9"/>
        <v>5</v>
      </c>
      <c r="BUF11" s="184">
        <f t="shared" si="700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1"/>
        <v>330</v>
      </c>
      <c r="BUN11" s="211">
        <f t="shared" si="702"/>
        <v>55</v>
      </c>
      <c r="BUO11" s="244"/>
      <c r="BUP11" s="64"/>
      <c r="BUQ11" s="64"/>
      <c r="BUR11" s="64"/>
      <c r="BUS11" s="64"/>
      <c r="BUT11" s="64"/>
      <c r="BUU11" s="67">
        <f t="shared" si="703"/>
        <v>0</v>
      </c>
      <c r="BUV11" s="211">
        <f t="shared" si="704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5"/>
        <v>820</v>
      </c>
      <c r="BVD11" s="211">
        <f t="shared" si="706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7"/>
        <v>829</v>
      </c>
      <c r="BVL11" s="184">
        <f t="shared" si="708"/>
        <v>138.16666666666666</v>
      </c>
      <c r="BVM11" s="244"/>
      <c r="BVN11" s="64"/>
      <c r="BVO11" s="64"/>
      <c r="BVP11" s="64"/>
      <c r="BVQ11" s="64"/>
      <c r="BVR11" s="64"/>
      <c r="BVS11" s="67">
        <f t="shared" si="709"/>
        <v>0</v>
      </c>
      <c r="BVT11" s="211">
        <f t="shared" si="710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1"/>
        <v>676</v>
      </c>
      <c r="BWB11" s="184">
        <f t="shared" si="712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3"/>
        <v>671</v>
      </c>
      <c r="BWJ11" s="184">
        <f t="shared" si="714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5"/>
        <v>1250</v>
      </c>
      <c r="BWR11" s="211">
        <f t="shared" si="716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7"/>
        <v>386</v>
      </c>
      <c r="BWZ11" s="211">
        <f t="shared" si="718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9"/>
        <v>1572</v>
      </c>
      <c r="BXH11" s="211">
        <f t="shared" si="720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1"/>
        <v>182</v>
      </c>
      <c r="BXP11" s="184">
        <f t="shared" si="722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3"/>
        <v>2358</v>
      </c>
      <c r="BXX11" s="184">
        <f t="shared" si="724"/>
        <v>393</v>
      </c>
      <c r="BXY11" s="244"/>
      <c r="BXZ11" s="64"/>
      <c r="BYA11" s="64"/>
      <c r="BYB11" s="64"/>
      <c r="BYC11" s="64"/>
      <c r="BYD11" s="64"/>
      <c r="BYE11" s="67">
        <f t="shared" si="725"/>
        <v>0</v>
      </c>
      <c r="BYF11" s="211">
        <f t="shared" si="726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7"/>
        <v>1695</v>
      </c>
      <c r="BYN11" s="184">
        <f t="shared" si="728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9"/>
        <v>2843</v>
      </c>
      <c r="BYV11" s="211">
        <f t="shared" si="730"/>
        <v>473.83333333333331</v>
      </c>
      <c r="BYW11" s="244"/>
      <c r="BYX11" s="64"/>
      <c r="BYY11" s="64"/>
      <c r="BYZ11" s="64"/>
      <c r="BZA11" s="64"/>
      <c r="BZB11" s="64"/>
      <c r="BZC11" s="67">
        <f t="shared" si="731"/>
        <v>0</v>
      </c>
      <c r="BZD11" s="184">
        <f t="shared" si="732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3"/>
        <v>1184</v>
      </c>
      <c r="BZL11" s="184">
        <f t="shared" si="734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5"/>
        <v>1872</v>
      </c>
      <c r="BZT11" s="68">
        <f t="shared" si="736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7"/>
        <v>2344</v>
      </c>
      <c r="CAB11" s="68">
        <f t="shared" si="738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9"/>
        <v>954</v>
      </c>
      <c r="CAJ11" s="68">
        <f t="shared" si="740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1"/>
        <v>1719</v>
      </c>
      <c r="CAR11" s="184">
        <f t="shared" si="742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3"/>
        <v>1754</v>
      </c>
      <c r="CAZ11" s="211">
        <f t="shared" si="744"/>
        <v>292.33333333333331</v>
      </c>
      <c r="CBA11" s="244"/>
      <c r="CBB11" s="64"/>
      <c r="CBC11" s="64"/>
      <c r="CBD11" s="64"/>
      <c r="CBE11" s="64"/>
      <c r="CBF11" s="64"/>
      <c r="CBG11" s="67">
        <f t="shared" si="745"/>
        <v>0</v>
      </c>
      <c r="CBH11" s="211">
        <f t="shared" si="746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7"/>
        <v>2296</v>
      </c>
      <c r="CBP11" s="184">
        <f t="shared" si="748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9"/>
        <v>842</v>
      </c>
      <c r="CBX11" s="68">
        <f t="shared" si="750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1"/>
        <v>1690</v>
      </c>
      <c r="CCF11" s="68">
        <f t="shared" si="752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3"/>
        <v>1700</v>
      </c>
      <c r="CCN11" s="68">
        <f t="shared" si="754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5"/>
        <v>2692</v>
      </c>
      <c r="CCV11" s="68">
        <f t="shared" si="756"/>
        <v>448.66666666666669</v>
      </c>
      <c r="CCW11" s="63"/>
      <c r="CCX11" s="64"/>
      <c r="CCY11" s="64"/>
      <c r="CCZ11" s="64"/>
      <c r="CDA11" s="64"/>
      <c r="CDB11" s="64"/>
      <c r="CDC11" s="67">
        <f t="shared" si="757"/>
        <v>0</v>
      </c>
      <c r="CDD11" s="68">
        <f t="shared" si="758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9"/>
        <v>999</v>
      </c>
      <c r="CDL11" s="68">
        <f t="shared" si="760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1"/>
        <v>1167</v>
      </c>
      <c r="CDT11" s="68">
        <f t="shared" si="762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3"/>
        <v>981</v>
      </c>
      <c r="CEB11" s="68">
        <f t="shared" si="764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5"/>
        <v>2506</v>
      </c>
      <c r="CEJ11" s="68">
        <f t="shared" si="766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7"/>
        <v>2368</v>
      </c>
      <c r="CER11" s="68">
        <f t="shared" si="768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9"/>
        <v>1963</v>
      </c>
      <c r="CEZ11" s="68">
        <f t="shared" si="770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1"/>
        <v>1538</v>
      </c>
      <c r="CFH11" s="68">
        <f t="shared" si="772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3"/>
        <v>920</v>
      </c>
      <c r="CFP11" s="68">
        <f t="shared" si="774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5"/>
        <v>859</v>
      </c>
      <c r="CFX11" s="68">
        <f t="shared" si="776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7"/>
        <v>1206</v>
      </c>
      <c r="CGF11" s="68">
        <f t="shared" si="778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9"/>
        <v>3047</v>
      </c>
      <c r="CGN11" s="68">
        <f t="shared" si="780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1"/>
        <v>1542</v>
      </c>
      <c r="CGV11" s="68">
        <f t="shared" si="782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3"/>
        <v>3010</v>
      </c>
      <c r="CHD11" s="68">
        <f t="shared" si="784"/>
        <v>501.66666666666669</v>
      </c>
      <c r="CHE11" s="63"/>
      <c r="CHF11" s="64"/>
      <c r="CHG11" s="64"/>
      <c r="CHH11" s="64"/>
      <c r="CHI11" s="64"/>
      <c r="CHJ11" s="64"/>
      <c r="CHK11" s="67">
        <f t="shared" si="785"/>
        <v>0</v>
      </c>
      <c r="CHL11" s="68">
        <f t="shared" si="786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7"/>
        <v>791</v>
      </c>
      <c r="CHT11" s="68">
        <f t="shared" si="788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9"/>
        <v>1686</v>
      </c>
      <c r="CIB11" s="68">
        <f t="shared" si="790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1"/>
        <v>5356</v>
      </c>
      <c r="CIJ11" s="68">
        <f t="shared" si="792"/>
        <v>892.66666666666663</v>
      </c>
      <c r="CIK11" s="63"/>
      <c r="CIL11" s="64"/>
      <c r="CIM11" s="64"/>
      <c r="CIN11" s="64"/>
      <c r="CIO11" s="64"/>
      <c r="CIP11" s="64"/>
      <c r="CIQ11" s="67">
        <f t="shared" si="793"/>
        <v>0</v>
      </c>
      <c r="CIR11" s="68">
        <f t="shared" si="794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5"/>
        <v>1162</v>
      </c>
      <c r="CIZ11" s="68">
        <f t="shared" si="796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7"/>
        <v>977</v>
      </c>
      <c r="CJH11" s="68">
        <f t="shared" si="798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9"/>
        <v>1150</v>
      </c>
      <c r="CJP11" s="68">
        <f t="shared" si="800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1"/>
        <v>2531</v>
      </c>
      <c r="CJX11" s="68">
        <f t="shared" si="802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3"/>
        <v>2550</v>
      </c>
      <c r="CKF11" s="68">
        <f t="shared" si="804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5"/>
        <v>5095</v>
      </c>
      <c r="CKN11" s="68">
        <f t="shared" si="806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7"/>
        <v>1816</v>
      </c>
      <c r="CKV11" s="68">
        <f t="shared" si="808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9"/>
        <v>2500</v>
      </c>
      <c r="CLD11" s="68">
        <f t="shared" si="810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1"/>
        <v>3702</v>
      </c>
      <c r="CLL11" s="68">
        <f t="shared" si="812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3"/>
        <v>2211</v>
      </c>
      <c r="CLT11" s="184">
        <f t="shared" si="814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5"/>
        <v>1306</v>
      </c>
      <c r="CMB11" s="68">
        <f t="shared" si="816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7"/>
        <v>3113</v>
      </c>
      <c r="CMJ11" s="68">
        <f t="shared" si="818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9"/>
        <v>3099</v>
      </c>
      <c r="CMR11" s="68">
        <f t="shared" si="820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1"/>
        <v>1413</v>
      </c>
      <c r="CMZ11" s="68">
        <f t="shared" si="822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3"/>
        <v>1465</v>
      </c>
      <c r="CNH11" s="68">
        <f t="shared" si="824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5"/>
        <v>4069</v>
      </c>
      <c r="CNP11" s="68">
        <f t="shared" si="826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7"/>
        <v>509</v>
      </c>
      <c r="CNX11" s="68">
        <f t="shared" si="828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9"/>
        <v>2734</v>
      </c>
      <c r="COF11" s="68">
        <f t="shared" si="830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1"/>
        <v>3350</v>
      </c>
      <c r="CON11" s="68">
        <f t="shared" si="832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3"/>
        <v>1178</v>
      </c>
      <c r="COV11" s="68">
        <f t="shared" si="834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5"/>
        <v>1154</v>
      </c>
      <c r="CPD11" s="68">
        <f t="shared" si="836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7"/>
        <v>3068</v>
      </c>
      <c r="CPL11" s="68">
        <f t="shared" si="838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9"/>
        <v>1356</v>
      </c>
      <c r="CPT11" s="68">
        <f t="shared" si="840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1"/>
        <v>3293</v>
      </c>
      <c r="CQB11" s="68">
        <f t="shared" si="842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3"/>
        <v>6302</v>
      </c>
      <c r="CQJ11" s="68">
        <f t="shared" si="844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5"/>
        <v>1572</v>
      </c>
      <c r="CQR11" s="68">
        <f t="shared" si="846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675</v>
      </c>
      <c r="CQX11" s="49">
        <v>1324</v>
      </c>
      <c r="CQY11" s="67">
        <f t="shared" si="847"/>
        <v>3096</v>
      </c>
      <c r="CQZ11" s="68">
        <f t="shared" si="848"/>
        <v>516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9"/>
        <v>4445</v>
      </c>
      <c r="CRH11" s="68">
        <f t="shared" si="850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1"/>
        <v>4034</v>
      </c>
      <c r="CRP11" s="68">
        <f t="shared" si="852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3"/>
        <v>3274</v>
      </c>
      <c r="CRX11" s="68">
        <f t="shared" si="854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50">SUM(CRY11:CSD11)</f>
        <v>4592</v>
      </c>
      <c r="CSF11" s="68">
        <f t="shared" ref="CSF11:CSF23" si="1251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7"/>
        <v>3739</v>
      </c>
      <c r="CSN11" s="68">
        <f t="shared" si="858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9"/>
        <v>76</v>
      </c>
      <c r="CSV11" s="68">
        <f t="shared" si="860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1"/>
        <v>1676</v>
      </c>
      <c r="CTD11" s="68">
        <f t="shared" si="862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3"/>
        <v>5433</v>
      </c>
      <c r="CTL11" s="68">
        <f t="shared" si="864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5"/>
        <v>3401</v>
      </c>
      <c r="CTT11" s="68">
        <f t="shared" si="866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7"/>
        <v>2040</v>
      </c>
      <c r="CUB11" s="68">
        <f t="shared" si="868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9"/>
        <v>1408</v>
      </c>
      <c r="CUJ11" s="68">
        <f t="shared" si="870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1"/>
        <v>3190</v>
      </c>
      <c r="CUR11" s="68">
        <f t="shared" si="872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3"/>
        <v>7600</v>
      </c>
      <c r="CUZ11" s="68">
        <f t="shared" si="874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5"/>
        <v>2553</v>
      </c>
      <c r="CVH11" s="68">
        <f t="shared" si="876"/>
        <v>425.5</v>
      </c>
      <c r="CVI11" s="48">
        <v>0</v>
      </c>
      <c r="CVJ11" s="49">
        <f>SUMIF(SUMPK!$B:$B,$B:$B,SUMPK!$O:$O)</f>
        <v>675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7"/>
        <v>6514</v>
      </c>
      <c r="CVP11" s="68">
        <f t="shared" si="878"/>
        <v>1085.6666666666667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9"/>
        <v>5687</v>
      </c>
      <c r="CVX11" s="68">
        <f t="shared" si="880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1"/>
        <v>2390</v>
      </c>
      <c r="CWF11" s="68">
        <f t="shared" si="882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3"/>
        <v>2438</v>
      </c>
      <c r="CWN11" s="68">
        <f t="shared" si="884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5"/>
        <v>4868</v>
      </c>
      <c r="CWV11" s="43">
        <f t="shared" si="886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7"/>
        <v>1400</v>
      </c>
      <c r="CXD11" s="43">
        <f t="shared" si="888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9"/>
        <v>0</v>
      </c>
      <c r="CXL11" s="43">
        <f t="shared" si="890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1"/>
        <v>3739</v>
      </c>
      <c r="CXT11" s="43">
        <f t="shared" si="892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3"/>
        <v>3411</v>
      </c>
      <c r="CYB11" s="43">
        <f t="shared" si="894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5"/>
        <v>3862</v>
      </c>
      <c r="CYJ11" s="43">
        <f t="shared" si="896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7"/>
        <v>6684</v>
      </c>
      <c r="CYR11" s="43">
        <f t="shared" si="898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9"/>
        <v>4442</v>
      </c>
      <c r="CYZ11" s="43">
        <f t="shared" si="900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1"/>
        <v>6147</v>
      </c>
      <c r="CZH11" s="43">
        <f t="shared" si="902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3"/>
        <v>4954</v>
      </c>
      <c r="CZP11" s="43">
        <f t="shared" si="904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5"/>
        <v>1711</v>
      </c>
      <c r="CZX11" s="43">
        <f t="shared" si="906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7"/>
        <v>1721</v>
      </c>
      <c r="DAF11" s="43">
        <f t="shared" si="908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9"/>
        <v>2576</v>
      </c>
      <c r="DAN11" s="43">
        <f t="shared" si="910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1"/>
        <v>1789</v>
      </c>
      <c r="DAV11" s="68">
        <f t="shared" si="912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3"/>
        <v>5853</v>
      </c>
      <c r="DBD11" s="68">
        <f t="shared" si="914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5"/>
        <v>1708</v>
      </c>
      <c r="DBL11" s="68">
        <f t="shared" si="916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7"/>
        <v>5202</v>
      </c>
      <c r="DBT11" s="68">
        <f t="shared" si="918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9"/>
        <v>4765</v>
      </c>
      <c r="DCB11" s="184">
        <f t="shared" si="920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1"/>
        <v>3123</v>
      </c>
      <c r="DCJ11" s="211">
        <f t="shared" si="922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3"/>
        <v>5362</v>
      </c>
      <c r="DCR11" s="211">
        <f t="shared" si="924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5"/>
        <v>3404</v>
      </c>
      <c r="DCZ11" s="184">
        <f t="shared" si="926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7"/>
        <v>6459</v>
      </c>
      <c r="DDH11" s="211">
        <f t="shared" si="928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9"/>
        <v>2546</v>
      </c>
      <c r="DDP11" s="184">
        <f t="shared" si="930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1"/>
        <v>4017</v>
      </c>
      <c r="DDX11" s="211">
        <f t="shared" si="932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3"/>
        <v>5246</v>
      </c>
      <c r="DEF11" s="214">
        <f t="shared" si="934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5"/>
        <v>2557</v>
      </c>
      <c r="DEN11" s="101">
        <f t="shared" si="936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7"/>
        <v>4757</v>
      </c>
      <c r="DEV11" s="101">
        <f t="shared" si="938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9"/>
        <v>5616</v>
      </c>
      <c r="DFD11" s="43">
        <f t="shared" si="940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1"/>
        <v>5033</v>
      </c>
      <c r="DFL11" s="43">
        <f t="shared" si="942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3"/>
        <v>518</v>
      </c>
      <c r="DFT11" s="43">
        <f t="shared" si="944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5"/>
        <v>5705</v>
      </c>
      <c r="DGB11" s="43">
        <f t="shared" si="946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7"/>
        <v>6328</v>
      </c>
      <c r="DGJ11" s="68">
        <f t="shared" si="948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9"/>
        <v>2040</v>
      </c>
      <c r="DGR11" s="68">
        <f t="shared" si="950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1"/>
        <v>2920</v>
      </c>
      <c r="DGZ11" s="68">
        <f t="shared" si="952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3"/>
        <v>1825</v>
      </c>
      <c r="DHH11" s="68">
        <f t="shared" si="954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5"/>
        <v>7853</v>
      </c>
      <c r="DHP11" s="68">
        <f t="shared" si="956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7"/>
        <v>1359</v>
      </c>
      <c r="DHX11" s="68">
        <f t="shared" si="958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9"/>
        <v>2489</v>
      </c>
      <c r="DIF11" s="68">
        <f t="shared" si="960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1"/>
        <v>4639</v>
      </c>
      <c r="DIN11" s="68">
        <f t="shared" si="962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3"/>
        <v>2509</v>
      </c>
      <c r="DIV11" s="68">
        <f t="shared" si="964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5"/>
        <v>4734</v>
      </c>
      <c r="DJD11" s="68">
        <f t="shared" si="966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7"/>
        <v>1426</v>
      </c>
      <c r="DJL11" s="68">
        <f t="shared" si="968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9"/>
        <v>6158</v>
      </c>
      <c r="DJT11" s="68">
        <f t="shared" si="970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1"/>
        <v>6196</v>
      </c>
      <c r="DKB11" s="68">
        <f t="shared" si="972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3"/>
        <v>4537</v>
      </c>
      <c r="DKJ11" s="68">
        <f t="shared" si="974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5"/>
        <v>3207</v>
      </c>
      <c r="DKR11" s="68">
        <f t="shared" si="976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7"/>
        <v>2333</v>
      </c>
      <c r="DKZ11" s="68">
        <f t="shared" si="978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9"/>
        <v>3267</v>
      </c>
      <c r="DLH11" s="68">
        <f t="shared" si="980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1"/>
        <v>4153</v>
      </c>
      <c r="DLP11" s="68">
        <f t="shared" si="982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3"/>
        <v>0</v>
      </c>
      <c r="DLX11" s="68">
        <f t="shared" si="984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5"/>
        <v>1666</v>
      </c>
      <c r="DMF11" s="68">
        <f t="shared" si="986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7"/>
        <v>2673</v>
      </c>
      <c r="DMN11" s="68">
        <f t="shared" si="988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9"/>
        <v>3262</v>
      </c>
      <c r="DMV11" s="68">
        <f t="shared" si="990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1"/>
        <v>3784</v>
      </c>
      <c r="DND11" s="68">
        <f t="shared" si="992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3"/>
        <v>1313</v>
      </c>
      <c r="DNL11" s="68">
        <f t="shared" si="994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5"/>
        <v>2583</v>
      </c>
      <c r="DNT11" s="68">
        <f t="shared" si="996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7"/>
        <v>2413</v>
      </c>
      <c r="DOB11" s="68">
        <f t="shared" si="998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9"/>
        <v>1875</v>
      </c>
      <c r="DOJ11" s="68">
        <f t="shared" si="1000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1"/>
        <v>1274</v>
      </c>
      <c r="DOR11" s="68">
        <f t="shared" si="1002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3"/>
        <v>1179</v>
      </c>
      <c r="DOZ11" s="68">
        <f t="shared" si="1004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5"/>
        <v>3191</v>
      </c>
      <c r="DPH11" s="68">
        <f t="shared" si="1006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7"/>
        <v>3316</v>
      </c>
      <c r="DPP11" s="68">
        <f t="shared" si="1008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9"/>
        <v>1337</v>
      </c>
      <c r="DPX11" s="68">
        <f t="shared" si="1010"/>
        <v>222.83333333333334</v>
      </c>
      <c r="DPY11" s="63">
        <v>0</v>
      </c>
      <c r="DPZ11" s="64">
        <v>1403</v>
      </c>
      <c r="DQA11" s="64">
        <f>SUMIF(SUMPK!$B:$B,$B:$B,SUMPK!$O:$O)</f>
        <v>675</v>
      </c>
      <c r="DQB11" s="64">
        <v>0</v>
      </c>
      <c r="DQC11" s="64">
        <v>1640</v>
      </c>
      <c r="DQD11" s="64">
        <v>0</v>
      </c>
      <c r="DQE11" s="64">
        <f t="shared" si="1011"/>
        <v>3718</v>
      </c>
      <c r="DQF11" s="68">
        <f t="shared" si="1012"/>
        <v>619.66666666666663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3"/>
        <v>0</v>
      </c>
      <c r="DQN11" s="68">
        <f t="shared" si="1014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5"/>
        <v>0</v>
      </c>
      <c r="DQV11" s="68">
        <f t="shared" si="1016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7"/>
        <v>14</v>
      </c>
      <c r="DRD11" s="68">
        <f t="shared" si="1018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9"/>
        <v>1961</v>
      </c>
      <c r="DRL11" s="68">
        <f t="shared" si="1020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1"/>
        <v>1664</v>
      </c>
      <c r="DRT11" s="68">
        <f t="shared" si="1022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3"/>
        <v>470</v>
      </c>
      <c r="DSB11" s="68">
        <f t="shared" si="1024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5"/>
        <v>3398</v>
      </c>
      <c r="DSJ11" s="68">
        <f t="shared" si="1026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7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8"/>
        <v>1492</v>
      </c>
      <c r="DSZ11" s="68">
        <f t="shared" si="1029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30"/>
        <v>3834</v>
      </c>
      <c r="DTH11" s="68">
        <f t="shared" si="1031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2"/>
        <v>2505</v>
      </c>
      <c r="DTP11" s="68">
        <f t="shared" si="1033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4"/>
        <v>3339</v>
      </c>
      <c r="DTX11" s="68">
        <f t="shared" si="1035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6"/>
        <v>2918</v>
      </c>
      <c r="DUF11" s="68">
        <f t="shared" si="1037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8"/>
        <v>2376</v>
      </c>
      <c r="DUN11" s="68">
        <f t="shared" si="1039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40"/>
        <v>2471</v>
      </c>
      <c r="DUV11" s="68">
        <f t="shared" si="1041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2"/>
        <v>2670</v>
      </c>
      <c r="DVD11" s="68">
        <f t="shared" si="1043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4"/>
        <v>1491</v>
      </c>
      <c r="DVL11" s="68">
        <f t="shared" si="1045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6"/>
        <v>5384</v>
      </c>
      <c r="DVT11" s="68">
        <f t="shared" si="1047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8"/>
        <v>6944</v>
      </c>
      <c r="DWB11" s="68">
        <f t="shared" si="1049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50"/>
        <v>3011</v>
      </c>
      <c r="DWJ11" s="68">
        <f t="shared" si="1051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2"/>
        <v>3287</v>
      </c>
      <c r="DWR11" s="68">
        <f t="shared" si="1053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4"/>
        <v>4392</v>
      </c>
      <c r="DWZ11" s="68">
        <f t="shared" si="1055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6"/>
        <v>0</v>
      </c>
      <c r="DXH11" s="68">
        <f t="shared" si="1057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8"/>
        <v>1696</v>
      </c>
      <c r="DXP11" s="68">
        <f t="shared" si="1059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60"/>
        <v>893</v>
      </c>
      <c r="DXX11" s="68">
        <f t="shared" si="1061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2"/>
        <v>3583</v>
      </c>
      <c r="DYF11" s="68">
        <f t="shared" si="1063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4"/>
        <v>2495</v>
      </c>
      <c r="DYN11" s="68">
        <f t="shared" si="1065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6"/>
        <v>3372</v>
      </c>
      <c r="DYV11" s="68">
        <f t="shared" si="1067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8"/>
        <v>5160</v>
      </c>
      <c r="DZD11" s="68">
        <f t="shared" si="1069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70"/>
        <v>2344</v>
      </c>
      <c r="DZL11" s="68">
        <f t="shared" si="1071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2"/>
        <v>4239</v>
      </c>
      <c r="DZT11" s="68">
        <f t="shared" si="1073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4"/>
        <v>3328</v>
      </c>
      <c r="EAB11" s="68">
        <f t="shared" si="1075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6"/>
        <v>3356</v>
      </c>
      <c r="EAJ11" s="68">
        <f t="shared" si="1077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8"/>
        <v>3077</v>
      </c>
      <c r="EAR11" s="68">
        <f t="shared" si="1079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80"/>
        <v>1406</v>
      </c>
      <c r="EAZ11" s="68">
        <f t="shared" si="1081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2"/>
        <v>2863</v>
      </c>
      <c r="EBH11" s="68">
        <f t="shared" si="1083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4"/>
        <v>2559</v>
      </c>
      <c r="EBP11" s="68">
        <f t="shared" si="1085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6"/>
        <v>5666</v>
      </c>
      <c r="EBX11" s="68">
        <f t="shared" si="1087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8"/>
        <v>49</v>
      </c>
      <c r="ECF11" s="68">
        <f t="shared" si="1089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90"/>
        <v>1359</v>
      </c>
      <c r="ECN11" s="68">
        <f t="shared" si="1091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2"/>
        <v>2398</v>
      </c>
      <c r="ECV11" s="68">
        <f t="shared" si="1093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4"/>
        <v>2015</v>
      </c>
      <c r="EDD11" s="68">
        <f t="shared" si="1095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6"/>
        <v>1860</v>
      </c>
      <c r="EDL11" s="68">
        <f t="shared" si="1097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8"/>
        <v>1360</v>
      </c>
      <c r="EDT11" s="68">
        <f t="shared" si="1099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100"/>
        <v>1790</v>
      </c>
      <c r="EEB11" s="68">
        <f t="shared" si="1101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2"/>
        <v>3182</v>
      </c>
      <c r="EEJ11" s="68">
        <f t="shared" si="1103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4"/>
        <v>1371</v>
      </c>
      <c r="EER11" s="68">
        <f t="shared" si="1105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6"/>
        <v>1216</v>
      </c>
      <c r="EEZ11" s="68">
        <f t="shared" si="1107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8"/>
        <v>0</v>
      </c>
      <c r="EFH11" s="68">
        <f t="shared" si="1109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10"/>
        <v>361</v>
      </c>
      <c r="EFP11" s="68">
        <f t="shared" si="1111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2"/>
        <v>0</v>
      </c>
      <c r="EFX11" s="68">
        <f t="shared" si="1113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4"/>
        <v>1809</v>
      </c>
      <c r="EGF11" s="68">
        <f t="shared" si="1115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6"/>
        <v>724</v>
      </c>
      <c r="EGN11" s="68">
        <f t="shared" si="1117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8"/>
        <v>2376</v>
      </c>
      <c r="EGV11" s="68">
        <f t="shared" si="1119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20"/>
        <v>2095</v>
      </c>
      <c r="EHD11" s="68">
        <f t="shared" si="1121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2"/>
        <v>833</v>
      </c>
      <c r="EHL11" s="68">
        <f t="shared" si="1123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4"/>
        <v>1024</v>
      </c>
      <c r="EHT11" s="68">
        <f t="shared" si="1125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6"/>
        <v>432</v>
      </c>
      <c r="EIB11" s="68">
        <f t="shared" si="1127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8"/>
        <v>3457</v>
      </c>
      <c r="EIJ11" s="68">
        <f t="shared" si="1129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30"/>
        <v>1812</v>
      </c>
      <c r="EIR11" s="68">
        <f t="shared" si="1131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2"/>
        <v>2092</v>
      </c>
      <c r="EIZ11" s="68">
        <f t="shared" si="1133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4"/>
        <v>3329</v>
      </c>
      <c r="EJH11" s="68">
        <f t="shared" si="1135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6"/>
        <v>2684</v>
      </c>
      <c r="EJP11" s="68">
        <f t="shared" si="1137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8"/>
        <v>667</v>
      </c>
      <c r="EJX11" s="68">
        <f t="shared" si="1139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40"/>
        <v>821</v>
      </c>
      <c r="EKF11" s="68">
        <f t="shared" si="1141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2"/>
        <v>2015</v>
      </c>
      <c r="EKN11" s="68">
        <f t="shared" si="1143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4"/>
        <v>4440</v>
      </c>
      <c r="EKV11" s="68">
        <f t="shared" si="1145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6"/>
        <v>792</v>
      </c>
      <c r="ELD11" s="68">
        <f t="shared" si="1147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8"/>
        <v>615</v>
      </c>
      <c r="ELL11" s="184">
        <f t="shared" si="1149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50"/>
        <v>566</v>
      </c>
      <c r="ELU11" s="211">
        <f t="shared" si="1151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2"/>
        <v>3328</v>
      </c>
      <c r="EMC11" s="211">
        <f t="shared" si="1153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4"/>
        <v>0</v>
      </c>
      <c r="EMK11" s="211">
        <f t="shared" si="1155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6"/>
        <v>3630</v>
      </c>
      <c r="EMS11" s="211">
        <f t="shared" si="1157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8"/>
        <v>2263</v>
      </c>
      <c r="ENA11" s="211">
        <f t="shared" si="1159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60"/>
        <v>1874</v>
      </c>
      <c r="ENI11" s="211">
        <f t="shared" si="1161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2"/>
        <v>872</v>
      </c>
      <c r="ENQ11" s="211">
        <f t="shared" si="1163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4"/>
        <v>1272</v>
      </c>
      <c r="ENY11" s="211">
        <f t="shared" si="1165"/>
        <v>212</v>
      </c>
      <c r="ENZ11" s="244">
        <f>SUMIF(SUMPK!$B:$B,$B:$B,SUMPK!$O:$O)</f>
        <v>675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6"/>
        <v>1490</v>
      </c>
      <c r="EOG11" s="211">
        <f t="shared" si="1167"/>
        <v>248.33333333333334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8"/>
        <v>2097</v>
      </c>
      <c r="EOO11" s="211">
        <f t="shared" si="1169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70"/>
        <v>2058</v>
      </c>
      <c r="EOW11" s="211">
        <f t="shared" si="1171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2"/>
        <v>2654</v>
      </c>
      <c r="EPE11" s="211">
        <f t="shared" si="1173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4"/>
        <v>1644</v>
      </c>
      <c r="EPM11" s="211">
        <f t="shared" si="1175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6"/>
        <v>1669</v>
      </c>
      <c r="EPU11" s="211">
        <f t="shared" si="1177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8"/>
        <v>823</v>
      </c>
      <c r="EQC11" s="211">
        <f t="shared" si="1179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80"/>
        <v>2841</v>
      </c>
      <c r="EQK11" s="211">
        <f t="shared" si="1181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2"/>
        <v>1683</v>
      </c>
      <c r="EQS11" s="211">
        <f t="shared" si="1183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4"/>
        <v>1227</v>
      </c>
      <c r="ERA11" s="211">
        <f t="shared" si="1185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6"/>
        <v>696</v>
      </c>
      <c r="ERI11" s="211">
        <f t="shared" si="1187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8"/>
        <v>1663</v>
      </c>
      <c r="ERQ11" s="211">
        <f t="shared" si="1189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90"/>
        <v>1332</v>
      </c>
      <c r="ERY11" s="211">
        <f t="shared" si="1191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2"/>
        <v>0</v>
      </c>
      <c r="ESG11" s="211">
        <f t="shared" si="1193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4"/>
        <v>2565</v>
      </c>
      <c r="ESO11" s="211">
        <f t="shared" si="1195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6"/>
        <v>1689</v>
      </c>
      <c r="ESW11" s="211">
        <f t="shared" si="1197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8"/>
        <v>2497</v>
      </c>
      <c r="ETE11" s="736">
        <f t="shared" si="1199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200"/>
        <v>3510</v>
      </c>
      <c r="ETM11" s="211">
        <f t="shared" si="1201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2"/>
        <v>2208</v>
      </c>
      <c r="ETU11" s="211">
        <f t="shared" si="1203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4"/>
        <v>855</v>
      </c>
      <c r="EUC11" s="211">
        <f t="shared" si="1205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6"/>
        <v>3257</v>
      </c>
      <c r="EUK11" s="211">
        <f t="shared" si="1207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8"/>
        <v>2038</v>
      </c>
      <c r="EUS11" s="211">
        <f t="shared" si="1209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10"/>
        <v>719</v>
      </c>
      <c r="EVA11" s="211">
        <f t="shared" si="1211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2"/>
        <v>3838</v>
      </c>
      <c r="EVI11" s="211">
        <f t="shared" si="1213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4"/>
        <v>1407</v>
      </c>
      <c r="EVQ11" s="211">
        <f t="shared" si="1215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6"/>
        <v>859</v>
      </c>
      <c r="EVY11" s="211">
        <f t="shared" si="1217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8"/>
        <v>69</v>
      </c>
      <c r="EWG11" s="211">
        <f t="shared" si="1219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20"/>
        <v>803</v>
      </c>
      <c r="EWO11" s="211">
        <f t="shared" si="1221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2"/>
        <v>3253</v>
      </c>
      <c r="EWW11" s="211">
        <f t="shared" si="1223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4"/>
        <v>1601</v>
      </c>
      <c r="EXE11" s="211">
        <f t="shared" si="1225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6"/>
        <v>1264</v>
      </c>
      <c r="EXM11" s="211">
        <f t="shared" si="1227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8"/>
        <v>4131</v>
      </c>
      <c r="EXU11" s="211">
        <f t="shared" si="1229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30"/>
        <v>0</v>
      </c>
      <c r="EYC11" s="211">
        <f t="shared" si="1231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2"/>
        <v>1655</v>
      </c>
      <c r="EYK11" s="211">
        <f t="shared" si="1233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4"/>
        <v>1522</v>
      </c>
      <c r="EYS11" s="211">
        <f t="shared" si="1235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6"/>
        <v>1862</v>
      </c>
      <c r="EZA11" s="211">
        <f t="shared" si="1237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8"/>
        <v>1885</v>
      </c>
      <c r="EZI11" s="211">
        <f t="shared" si="1239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40"/>
        <v>1034</v>
      </c>
      <c r="EZQ11" s="873">
        <f t="shared" si="1241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2"/>
        <v>1551</v>
      </c>
      <c r="EZY11" s="873">
        <f t="shared" si="1243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4"/>
        <v>2694</v>
      </c>
      <c r="FAG11" s="873">
        <f t="shared" si="1245"/>
        <v>449</v>
      </c>
      <c r="FAH11" s="195">
        <v>0</v>
      </c>
      <c r="FAI11" s="49">
        <v>270</v>
      </c>
      <c r="FAJ11" s="49">
        <v>499</v>
      </c>
      <c r="FAK11" s="49">
        <v>2044</v>
      </c>
      <c r="FAL11" s="49">
        <v>0</v>
      </c>
      <c r="FAM11" s="49">
        <v>0</v>
      </c>
      <c r="FAN11" s="872">
        <f t="shared" si="1246"/>
        <v>2813</v>
      </c>
      <c r="FAO11" s="873">
        <f t="shared" si="1247"/>
        <v>468.83333333333331</v>
      </c>
      <c r="FAP11" s="195">
        <v>0</v>
      </c>
      <c r="FAQ11" s="49">
        <v>0</v>
      </c>
      <c r="FAR11" s="49"/>
      <c r="FAS11" s="49"/>
      <c r="FAT11" s="49"/>
      <c r="FAU11" s="49"/>
      <c r="FAV11" s="872">
        <f t="shared" si="1248"/>
        <v>0</v>
      </c>
      <c r="FAW11" s="873">
        <f t="shared" si="1249"/>
        <v>0</v>
      </c>
    </row>
    <row r="12" spans="1:4105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3284</v>
      </c>
      <c r="G12" s="24"/>
      <c r="H12" s="24"/>
      <c r="I12" s="24"/>
      <c r="J12" s="360">
        <f>SUMIF(SUMPK!$B:$B,$B:$B,SUMPK!$O:$O)</f>
        <v>0</v>
      </c>
      <c r="K12" s="24"/>
      <c r="L12" s="24">
        <f t="shared" si="569"/>
        <v>3284</v>
      </c>
      <c r="M12" s="24">
        <f t="shared" si="570"/>
        <v>3284</v>
      </c>
      <c r="N12" s="15">
        <v>123.5</v>
      </c>
      <c r="O12" s="276">
        <f t="shared" si="0"/>
        <v>26.591093117408906</v>
      </c>
      <c r="P12" s="15">
        <v>51.666666666666664</v>
      </c>
      <c r="Q12" s="276">
        <f t="shared" si="571"/>
        <v>381.36774193548388</v>
      </c>
      <c r="R12" s="277">
        <f t="shared" si="572"/>
        <v>69.230769230769226</v>
      </c>
      <c r="S12" s="222">
        <v>1800</v>
      </c>
      <c r="T12" s="276">
        <f t="shared" si="573"/>
        <v>47.43555555555556</v>
      </c>
      <c r="U12" s="278"/>
      <c r="V12" s="277">
        <f t="shared" si="1"/>
        <v>47.43555555555556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4"/>
        <v>327</v>
      </c>
      <c r="BAV12" s="43">
        <f t="shared" si="575"/>
        <v>54.5</v>
      </c>
      <c r="BAW12" s="48"/>
      <c r="BAX12" s="49"/>
      <c r="BAY12" s="49"/>
      <c r="BAZ12" s="49"/>
      <c r="BBA12" s="49"/>
      <c r="BBB12" s="49"/>
      <c r="BBC12" s="42">
        <f t="shared" si="576"/>
        <v>0</v>
      </c>
      <c r="BBD12" s="43">
        <f t="shared" si="577"/>
        <v>0</v>
      </c>
      <c r="BBE12" s="48"/>
      <c r="BBF12" s="49"/>
      <c r="BBG12" s="49"/>
      <c r="BBH12" s="49"/>
      <c r="BBI12" s="49"/>
      <c r="BBJ12" s="49"/>
      <c r="BBK12" s="42">
        <f t="shared" si="578"/>
        <v>0</v>
      </c>
      <c r="BBL12" s="43">
        <f t="shared" si="579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80"/>
        <v>320</v>
      </c>
      <c r="BBT12" s="43">
        <f t="shared" si="581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2"/>
        <v>120</v>
      </c>
      <c r="BCB12" s="43">
        <f t="shared" si="583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4"/>
        <v>55.666666666666664</v>
      </c>
      <c r="BCK12" s="48"/>
      <c r="BCL12" s="49"/>
      <c r="BCM12" s="49"/>
      <c r="BCN12" s="49"/>
      <c r="BCO12" s="49"/>
      <c r="BCP12" s="49"/>
      <c r="BCQ12" s="42">
        <f t="shared" si="585"/>
        <v>0</v>
      </c>
      <c r="BCR12" s="43">
        <f t="shared" si="586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7"/>
        <v>36</v>
      </c>
      <c r="BCZ12" s="43">
        <f t="shared" si="588"/>
        <v>6</v>
      </c>
      <c r="BDA12" s="48"/>
      <c r="BDB12" s="49"/>
      <c r="BDC12" s="49"/>
      <c r="BDD12" s="49"/>
      <c r="BDE12" s="49"/>
      <c r="BDF12" s="49"/>
      <c r="BDG12" s="42">
        <f t="shared" si="589"/>
        <v>0</v>
      </c>
      <c r="BDH12" s="43">
        <f t="shared" si="590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1"/>
        <v>180</v>
      </c>
      <c r="BDP12" s="43">
        <f t="shared" si="592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3"/>
        <v>333</v>
      </c>
      <c r="BDX12" s="43">
        <f t="shared" si="594"/>
        <v>55.5</v>
      </c>
      <c r="BDY12" s="48"/>
      <c r="BDZ12" s="49"/>
      <c r="BEA12" s="49"/>
      <c r="BEB12" s="49"/>
      <c r="BEC12" s="49"/>
      <c r="BED12" s="49"/>
      <c r="BEE12" s="42">
        <f t="shared" si="595"/>
        <v>0</v>
      </c>
      <c r="BEF12" s="43">
        <f t="shared" si="596"/>
        <v>0</v>
      </c>
      <c r="BEG12" s="48"/>
      <c r="BEH12" s="49"/>
      <c r="BEI12" s="49"/>
      <c r="BEJ12" s="49"/>
      <c r="BEK12" s="49"/>
      <c r="BEL12" s="49"/>
      <c r="BEM12" s="42">
        <f t="shared" si="597"/>
        <v>0</v>
      </c>
      <c r="BEN12" s="43">
        <f t="shared" si="598"/>
        <v>0</v>
      </c>
      <c r="BEO12" s="48"/>
      <c r="BEP12" s="49"/>
      <c r="BEQ12" s="49"/>
      <c r="BER12" s="49"/>
      <c r="BES12" s="49"/>
      <c r="BET12" s="49"/>
      <c r="BEU12" s="42">
        <f t="shared" si="599"/>
        <v>0</v>
      </c>
      <c r="BEV12" s="43">
        <f t="shared" si="600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1"/>
        <v>595</v>
      </c>
      <c r="BFD12" s="43">
        <f t="shared" si="602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3"/>
        <v>368</v>
      </c>
      <c r="BFL12" s="68">
        <f t="shared" si="604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5"/>
        <v>326</v>
      </c>
      <c r="BFT12" s="68">
        <f t="shared" si="606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7"/>
        <v>120</v>
      </c>
      <c r="BGB12" s="68">
        <f t="shared" si="608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9"/>
        <v>54</v>
      </c>
      <c r="BGJ12" s="68">
        <f t="shared" si="610"/>
        <v>9</v>
      </c>
      <c r="BGK12" s="48"/>
      <c r="BGL12" s="49"/>
      <c r="BGM12" s="49"/>
      <c r="BGN12" s="49"/>
      <c r="BGO12" s="49"/>
      <c r="BGP12" s="49"/>
      <c r="BGQ12" s="67">
        <f t="shared" si="611"/>
        <v>0</v>
      </c>
      <c r="BGR12" s="68">
        <f t="shared" si="612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3"/>
        <v>332</v>
      </c>
      <c r="BGZ12" s="68">
        <f t="shared" si="614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5"/>
        <v>314</v>
      </c>
      <c r="BHH12" s="68">
        <f t="shared" si="616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7"/>
        <v>286</v>
      </c>
      <c r="BHP12" s="184">
        <f t="shared" si="618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9"/>
        <v>227</v>
      </c>
      <c r="BHX12" s="211">
        <f t="shared" si="620"/>
        <v>37.833333333333336</v>
      </c>
      <c r="BHY12" s="244"/>
      <c r="BHZ12" s="64"/>
      <c r="BIA12" s="64"/>
      <c r="BIB12" s="64"/>
      <c r="BIC12" s="64"/>
      <c r="BID12" s="64"/>
      <c r="BIE12" s="67">
        <f t="shared" si="621"/>
        <v>0</v>
      </c>
      <c r="BIF12" s="184">
        <f t="shared" si="622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3"/>
        <v>459</v>
      </c>
      <c r="BIN12" s="184">
        <f t="shared" si="624"/>
        <v>76.5</v>
      </c>
      <c r="BIO12" s="195"/>
      <c r="BIP12" s="49"/>
      <c r="BIQ12" s="49"/>
      <c r="BIR12" s="49"/>
      <c r="BIS12" s="49"/>
      <c r="BIT12" s="49"/>
      <c r="BIU12" s="67">
        <f t="shared" si="625"/>
        <v>0</v>
      </c>
      <c r="BIV12" s="211">
        <f t="shared" si="626"/>
        <v>0</v>
      </c>
      <c r="BIW12" s="195"/>
      <c r="BIX12" s="49"/>
      <c r="BIY12" s="49"/>
      <c r="BIZ12" s="49"/>
      <c r="BJA12" s="49"/>
      <c r="BJB12" s="49"/>
      <c r="BJC12" s="67">
        <f t="shared" si="627"/>
        <v>0</v>
      </c>
      <c r="BJD12" s="211">
        <f t="shared" si="628"/>
        <v>0</v>
      </c>
      <c r="BJE12" s="195"/>
      <c r="BJF12" s="49"/>
      <c r="BJG12" s="49"/>
      <c r="BJH12" s="49"/>
      <c r="BJI12" s="49"/>
      <c r="BJJ12" s="49"/>
      <c r="BJK12" s="67">
        <f t="shared" si="629"/>
        <v>0</v>
      </c>
      <c r="BJL12" s="211">
        <f t="shared" si="630"/>
        <v>0</v>
      </c>
      <c r="BJM12" s="195"/>
      <c r="BJN12" s="49"/>
      <c r="BJO12" s="49"/>
      <c r="BJP12" s="49"/>
      <c r="BJQ12" s="49"/>
      <c r="BJR12" s="49"/>
      <c r="BJS12" s="67">
        <f t="shared" si="631"/>
        <v>0</v>
      </c>
      <c r="BJT12" s="184">
        <f t="shared" si="632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3"/>
        <v>482</v>
      </c>
      <c r="BKB12" s="184">
        <f t="shared" si="634"/>
        <v>80.333333333333329</v>
      </c>
      <c r="BKC12" s="195"/>
      <c r="BKD12" s="49"/>
      <c r="BKE12" s="49"/>
      <c r="BKF12" s="49"/>
      <c r="BKG12" s="49"/>
      <c r="BKH12" s="49"/>
      <c r="BKI12" s="67">
        <f t="shared" si="635"/>
        <v>0</v>
      </c>
      <c r="BKJ12" s="184">
        <f t="shared" si="636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7"/>
        <v>459</v>
      </c>
      <c r="BKR12" s="184">
        <f t="shared" si="638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9"/>
        <v>475</v>
      </c>
      <c r="BKZ12" s="211">
        <f t="shared" si="640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1"/>
        <v>0</v>
      </c>
      <c r="BLH12" s="211">
        <f t="shared" si="642"/>
        <v>0</v>
      </c>
      <c r="BLI12" s="244"/>
      <c r="BLJ12" s="64"/>
      <c r="BLK12" s="64"/>
      <c r="BLL12" s="64"/>
      <c r="BLM12" s="64"/>
      <c r="BLN12" s="64"/>
      <c r="BLO12" s="67">
        <f t="shared" si="643"/>
        <v>0</v>
      </c>
      <c r="BLP12" s="184">
        <f t="shared" si="644"/>
        <v>0</v>
      </c>
      <c r="BLQ12" s="244"/>
      <c r="BLR12" s="64"/>
      <c r="BLS12" s="64"/>
      <c r="BLT12" s="64"/>
      <c r="BLU12" s="64"/>
      <c r="BLV12" s="64"/>
      <c r="BLW12" s="67">
        <f t="shared" si="645"/>
        <v>0</v>
      </c>
      <c r="BLX12" s="184">
        <f t="shared" si="646"/>
        <v>0</v>
      </c>
      <c r="BLY12" s="63"/>
      <c r="BLZ12" s="64"/>
      <c r="BMA12" s="64"/>
      <c r="BMB12" s="64"/>
      <c r="BMC12" s="64"/>
      <c r="BMD12" s="64"/>
      <c r="BME12" s="67">
        <f t="shared" si="647"/>
        <v>0</v>
      </c>
      <c r="BMF12" s="68">
        <f t="shared" si="648"/>
        <v>0</v>
      </c>
      <c r="BMG12" s="63"/>
      <c r="BMH12" s="64"/>
      <c r="BMI12" s="64"/>
      <c r="BMJ12" s="64"/>
      <c r="BMK12" s="64"/>
      <c r="BML12" s="64"/>
      <c r="BMM12" s="67">
        <f t="shared" si="649"/>
        <v>0</v>
      </c>
      <c r="BMN12" s="68">
        <f t="shared" si="650"/>
        <v>0</v>
      </c>
      <c r="BMO12" s="63"/>
      <c r="BMP12" s="64"/>
      <c r="BMQ12" s="64"/>
      <c r="BMR12" s="64"/>
      <c r="BMS12" s="64"/>
      <c r="BMT12" s="64"/>
      <c r="BMU12" s="67">
        <f t="shared" si="651"/>
        <v>0</v>
      </c>
      <c r="BMV12" s="68">
        <f t="shared" si="652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3"/>
        <v>296</v>
      </c>
      <c r="BND12" s="68">
        <f t="shared" si="654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5"/>
        <v>662</v>
      </c>
      <c r="BNL12" s="68">
        <f t="shared" si="656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7"/>
        <v>91</v>
      </c>
      <c r="BNT12" s="68">
        <f t="shared" si="658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9"/>
        <v>490</v>
      </c>
      <c r="BOB12" s="184">
        <f t="shared" si="660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1"/>
        <v>276</v>
      </c>
      <c r="BOJ12" s="184">
        <f t="shared" si="662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3"/>
        <v>328</v>
      </c>
      <c r="BOR12" s="68">
        <f t="shared" si="664"/>
        <v>54.666666666666664</v>
      </c>
      <c r="BOS12" s="63"/>
      <c r="BOT12" s="64"/>
      <c r="BOU12" s="64"/>
      <c r="BOV12" s="64"/>
      <c r="BOW12" s="64"/>
      <c r="BOX12" s="64"/>
      <c r="BOY12" s="67">
        <f t="shared" si="665"/>
        <v>0</v>
      </c>
      <c r="BOZ12" s="68">
        <f t="shared" si="666"/>
        <v>0</v>
      </c>
      <c r="BPA12" s="63"/>
      <c r="BPB12" s="64"/>
      <c r="BPC12" s="64"/>
      <c r="BPD12" s="64"/>
      <c r="BPE12" s="64"/>
      <c r="BPF12" s="64"/>
      <c r="BPG12" s="67">
        <f t="shared" si="667"/>
        <v>0</v>
      </c>
      <c r="BPH12" s="68">
        <f t="shared" si="668"/>
        <v>0</v>
      </c>
      <c r="BPI12" s="63"/>
      <c r="BPJ12" s="64"/>
      <c r="BPK12" s="64"/>
      <c r="BPL12" s="64"/>
      <c r="BPM12" s="64"/>
      <c r="BPN12" s="64"/>
      <c r="BPO12" s="67">
        <f t="shared" si="669"/>
        <v>0</v>
      </c>
      <c r="BPP12" s="68">
        <f t="shared" si="670"/>
        <v>0</v>
      </c>
      <c r="BPQ12" s="63"/>
      <c r="BPR12" s="64"/>
      <c r="BPS12" s="64"/>
      <c r="BPT12" s="64"/>
      <c r="BPU12" s="64"/>
      <c r="BPV12" s="64"/>
      <c r="BPW12" s="67">
        <f t="shared" si="671"/>
        <v>0</v>
      </c>
      <c r="BPX12" s="68">
        <f t="shared" si="672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3"/>
        <v>495</v>
      </c>
      <c r="BQF12" s="68">
        <f t="shared" si="674"/>
        <v>82.5</v>
      </c>
      <c r="BQG12" s="63"/>
      <c r="BQH12" s="64"/>
      <c r="BQI12" s="64"/>
      <c r="BQJ12" s="64"/>
      <c r="BQK12" s="64"/>
      <c r="BQL12" s="64"/>
      <c r="BQM12" s="67">
        <f t="shared" si="675"/>
        <v>0</v>
      </c>
      <c r="BQN12" s="68">
        <f t="shared" si="676"/>
        <v>0</v>
      </c>
      <c r="BQO12" s="63"/>
      <c r="BQP12" s="64"/>
      <c r="BQQ12" s="64"/>
      <c r="BQR12" s="64"/>
      <c r="BQS12" s="64"/>
      <c r="BQT12" s="64"/>
      <c r="BQU12" s="67">
        <f t="shared" si="677"/>
        <v>0</v>
      </c>
      <c r="BQV12" s="68">
        <f t="shared" si="678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9"/>
        <v>503</v>
      </c>
      <c r="BRD12" s="68">
        <f t="shared" si="680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1"/>
        <v>401</v>
      </c>
      <c r="BRL12" s="68">
        <f t="shared" si="682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3"/>
        <v>845</v>
      </c>
      <c r="BRT12" s="68">
        <f t="shared" si="684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5"/>
        <v>57</v>
      </c>
      <c r="BSB12" s="68">
        <f t="shared" si="686"/>
        <v>9.5</v>
      </c>
      <c r="BSC12" s="63"/>
      <c r="BSD12" s="64"/>
      <c r="BSE12" s="64"/>
      <c r="BSF12" s="64"/>
      <c r="BSG12" s="64"/>
      <c r="BSH12" s="64"/>
      <c r="BSI12" s="67">
        <f t="shared" si="687"/>
        <v>0</v>
      </c>
      <c r="BSJ12" s="68">
        <f t="shared" si="688"/>
        <v>0</v>
      </c>
      <c r="BSK12" s="63"/>
      <c r="BSL12" s="64"/>
      <c r="BSM12" s="64"/>
      <c r="BSN12" s="64"/>
      <c r="BSO12" s="64"/>
      <c r="BSP12" s="68"/>
      <c r="BSQ12" s="265">
        <f t="shared" si="689"/>
        <v>0</v>
      </c>
      <c r="BSR12" s="68">
        <f t="shared" si="690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1"/>
        <v>334</v>
      </c>
      <c r="BSZ12" s="68">
        <f t="shared" si="692"/>
        <v>55.666666666666664</v>
      </c>
      <c r="BTA12" s="63"/>
      <c r="BTB12" s="64"/>
      <c r="BTC12" s="64"/>
      <c r="BTD12" s="64"/>
      <c r="BTE12" s="64"/>
      <c r="BTF12" s="64"/>
      <c r="BTG12" s="67">
        <f t="shared" si="693"/>
        <v>0</v>
      </c>
      <c r="BTH12" s="68">
        <f t="shared" si="694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5"/>
        <v>356</v>
      </c>
      <c r="BTP12" s="68">
        <f t="shared" si="696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7"/>
        <v>0</v>
      </c>
      <c r="BTX12" s="184">
        <f t="shared" si="698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9"/>
        <v>502</v>
      </c>
      <c r="BUF12" s="184">
        <f t="shared" si="700"/>
        <v>83.666666666666671</v>
      </c>
      <c r="BUG12" s="244"/>
      <c r="BUH12" s="64"/>
      <c r="BUI12" s="64"/>
      <c r="BUJ12" s="64"/>
      <c r="BUK12" s="64"/>
      <c r="BUL12" s="64"/>
      <c r="BUM12" s="67">
        <f t="shared" si="701"/>
        <v>0</v>
      </c>
      <c r="BUN12" s="211">
        <f t="shared" si="702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3"/>
        <v>295</v>
      </c>
      <c r="BUV12" s="211">
        <f t="shared" si="704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5"/>
        <v>202</v>
      </c>
      <c r="BVD12" s="211">
        <f t="shared" si="706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7"/>
        <v>581</v>
      </c>
      <c r="BVL12" s="184">
        <f t="shared" si="708"/>
        <v>96.833333333333329</v>
      </c>
      <c r="BVM12" s="244"/>
      <c r="BVN12" s="64"/>
      <c r="BVO12" s="64"/>
      <c r="BVP12" s="64"/>
      <c r="BVQ12" s="64"/>
      <c r="BVR12" s="64"/>
      <c r="BVS12" s="67">
        <f t="shared" si="709"/>
        <v>0</v>
      </c>
      <c r="BVT12" s="211">
        <f t="shared" si="710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1"/>
        <v>336</v>
      </c>
      <c r="BWB12" s="184">
        <f t="shared" si="712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3"/>
        <v>492</v>
      </c>
      <c r="BWJ12" s="184">
        <f t="shared" si="714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5"/>
        <v>282</v>
      </c>
      <c r="BWR12" s="211">
        <f t="shared" si="716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7"/>
        <v>454</v>
      </c>
      <c r="BWZ12" s="211">
        <f t="shared" si="718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9"/>
        <v>448</v>
      </c>
      <c r="BXH12" s="211">
        <f t="shared" si="720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1"/>
        <v>331</v>
      </c>
      <c r="BXP12" s="184">
        <f t="shared" si="722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3"/>
        <v>487</v>
      </c>
      <c r="BXX12" s="184">
        <f t="shared" si="724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5"/>
        <v>1226</v>
      </c>
      <c r="BYF12" s="211">
        <f t="shared" si="726"/>
        <v>204.33333333333334</v>
      </c>
      <c r="BYG12" s="244"/>
      <c r="BYH12" s="64"/>
      <c r="BYI12" s="64"/>
      <c r="BYJ12" s="64"/>
      <c r="BYK12" s="64"/>
      <c r="BYL12" s="64"/>
      <c r="BYM12" s="67">
        <f t="shared" si="727"/>
        <v>0</v>
      </c>
      <c r="BYN12" s="184">
        <f t="shared" si="728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9"/>
        <v>72</v>
      </c>
      <c r="BYV12" s="211">
        <f t="shared" si="730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1"/>
        <v>711</v>
      </c>
      <c r="BZD12" s="184">
        <f t="shared" si="732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3"/>
        <v>511</v>
      </c>
      <c r="BZL12" s="184">
        <f t="shared" si="734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5"/>
        <v>0</v>
      </c>
      <c r="BZT12" s="68">
        <f t="shared" si="736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7"/>
        <v>81</v>
      </c>
      <c r="CAB12" s="68">
        <f t="shared" si="738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9"/>
        <v>650</v>
      </c>
      <c r="CAJ12" s="68">
        <f t="shared" si="740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1"/>
        <v>668</v>
      </c>
      <c r="CAR12" s="184">
        <f t="shared" si="742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3"/>
        <v>623</v>
      </c>
      <c r="CAZ12" s="211">
        <f t="shared" si="744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5"/>
        <v>501</v>
      </c>
      <c r="CBH12" s="211">
        <f t="shared" si="746"/>
        <v>83.5</v>
      </c>
      <c r="CBI12" s="244"/>
      <c r="CBJ12" s="64"/>
      <c r="CBK12" s="64"/>
      <c r="CBL12" s="64"/>
      <c r="CBM12" s="64"/>
      <c r="CBN12" s="64"/>
      <c r="CBO12" s="67">
        <f t="shared" si="747"/>
        <v>0</v>
      </c>
      <c r="CBP12" s="184">
        <f t="shared" si="748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9"/>
        <v>481</v>
      </c>
      <c r="CBX12" s="68">
        <f t="shared" si="750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1"/>
        <v>379</v>
      </c>
      <c r="CCF12" s="68">
        <f t="shared" si="752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3"/>
        <v>198</v>
      </c>
      <c r="CCN12" s="68">
        <f t="shared" si="754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5"/>
        <v>810</v>
      </c>
      <c r="CCV12" s="68">
        <f t="shared" si="756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7"/>
        <v>533</v>
      </c>
      <c r="CDD12" s="68">
        <f t="shared" si="758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9"/>
        <v>665</v>
      </c>
      <c r="CDL12" s="68">
        <f t="shared" si="760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1"/>
        <v>15</v>
      </c>
      <c r="CDT12" s="68">
        <f t="shared" si="762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3"/>
        <v>377</v>
      </c>
      <c r="CEB12" s="68">
        <f t="shared" si="764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5"/>
        <v>334</v>
      </c>
      <c r="CEJ12" s="68">
        <f t="shared" si="766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7"/>
        <v>487</v>
      </c>
      <c r="CER12" s="68">
        <f t="shared" si="768"/>
        <v>81.166666666666671</v>
      </c>
      <c r="CES12" s="63"/>
      <c r="CET12" s="64"/>
      <c r="CEU12" s="64"/>
      <c r="CEV12" s="64"/>
      <c r="CEW12" s="64"/>
      <c r="CEX12" s="64"/>
      <c r="CEY12" s="67">
        <f t="shared" si="769"/>
        <v>0</v>
      </c>
      <c r="CEZ12" s="68">
        <f t="shared" si="770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1"/>
        <v>994</v>
      </c>
      <c r="CFH12" s="68">
        <f t="shared" si="772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3"/>
        <v>334</v>
      </c>
      <c r="CFP12" s="68">
        <f t="shared" si="774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5"/>
        <v>507</v>
      </c>
      <c r="CFX12" s="68">
        <f t="shared" si="776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7"/>
        <v>727</v>
      </c>
      <c r="CGF12" s="68">
        <f t="shared" si="778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9"/>
        <v>553</v>
      </c>
      <c r="CGN12" s="68">
        <f t="shared" si="780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1"/>
        <v>1121</v>
      </c>
      <c r="CGV12" s="68">
        <f t="shared" si="782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3"/>
        <v>523</v>
      </c>
      <c r="CHD12" s="68">
        <f t="shared" si="784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5"/>
        <v>669</v>
      </c>
      <c r="CHL12" s="68">
        <f t="shared" si="786"/>
        <v>111.5</v>
      </c>
      <c r="CHM12" s="63"/>
      <c r="CHN12" s="64"/>
      <c r="CHO12" s="64"/>
      <c r="CHP12" s="64"/>
      <c r="CHQ12" s="64"/>
      <c r="CHR12" s="64"/>
      <c r="CHS12" s="67">
        <f t="shared" si="787"/>
        <v>0</v>
      </c>
      <c r="CHT12" s="68">
        <f t="shared" si="788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9"/>
        <v>228</v>
      </c>
      <c r="CIB12" s="68">
        <f t="shared" si="790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1"/>
        <v>1157</v>
      </c>
      <c r="CIJ12" s="68">
        <f t="shared" si="792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3"/>
        <v>829</v>
      </c>
      <c r="CIR12" s="68">
        <f t="shared" si="794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5"/>
        <v>491</v>
      </c>
      <c r="CIZ12" s="68">
        <f t="shared" si="796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7"/>
        <v>663</v>
      </c>
      <c r="CJH12" s="68">
        <f t="shared" si="798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9"/>
        <v>666</v>
      </c>
      <c r="CJP12" s="68">
        <f t="shared" si="800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1"/>
        <v>783</v>
      </c>
      <c r="CJX12" s="68">
        <f t="shared" si="802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3"/>
        <v>822</v>
      </c>
      <c r="CKF12" s="68">
        <f t="shared" si="804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5"/>
        <v>826</v>
      </c>
      <c r="CKN12" s="68">
        <f t="shared" si="806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7"/>
        <v>67</v>
      </c>
      <c r="CKV12" s="68">
        <f t="shared" si="808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9"/>
        <v>715</v>
      </c>
      <c r="CLD12" s="68">
        <f t="shared" si="810"/>
        <v>119.16666666666667</v>
      </c>
      <c r="CLE12" s="63"/>
      <c r="CLF12" s="64"/>
      <c r="CLG12" s="64"/>
      <c r="CLH12" s="64"/>
      <c r="CLI12" s="64"/>
      <c r="CLJ12" s="64"/>
      <c r="CLK12" s="67">
        <f t="shared" si="811"/>
        <v>0</v>
      </c>
      <c r="CLL12" s="68">
        <f t="shared" si="812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3"/>
        <v>1790</v>
      </c>
      <c r="CLT12" s="184">
        <f t="shared" si="814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5"/>
        <v>1239</v>
      </c>
      <c r="CMB12" s="68">
        <f t="shared" si="816"/>
        <v>206.5</v>
      </c>
      <c r="CMC12" s="63"/>
      <c r="CMD12" s="64"/>
      <c r="CME12" s="64"/>
      <c r="CMF12" s="64"/>
      <c r="CMG12" s="64"/>
      <c r="CMH12" s="64"/>
      <c r="CMI12" s="67">
        <f t="shared" si="817"/>
        <v>0</v>
      </c>
      <c r="CMJ12" s="68">
        <f t="shared" si="818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9"/>
        <v>1662</v>
      </c>
      <c r="CMR12" s="68">
        <f t="shared" si="820"/>
        <v>277</v>
      </c>
      <c r="CMS12" s="63"/>
      <c r="CMT12" s="64"/>
      <c r="CMU12" s="64"/>
      <c r="CMV12" s="64"/>
      <c r="CMW12" s="64"/>
      <c r="CMX12" s="64"/>
      <c r="CMY12" s="67">
        <f t="shared" si="821"/>
        <v>0</v>
      </c>
      <c r="CMZ12" s="68">
        <f t="shared" si="822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3"/>
        <v>578</v>
      </c>
      <c r="CNH12" s="68">
        <f t="shared" si="824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5"/>
        <v>997</v>
      </c>
      <c r="CNP12" s="68">
        <f t="shared" si="826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7"/>
        <v>661</v>
      </c>
      <c r="CNX12" s="68">
        <f t="shared" si="828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9"/>
        <v>726</v>
      </c>
      <c r="COF12" s="68">
        <f t="shared" si="830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1"/>
        <v>939</v>
      </c>
      <c r="CON12" s="68">
        <f t="shared" si="832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3"/>
        <v>821</v>
      </c>
      <c r="COV12" s="68">
        <f t="shared" si="834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5"/>
        <v>634</v>
      </c>
      <c r="CPD12" s="68">
        <f t="shared" si="836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7"/>
        <v>1423</v>
      </c>
      <c r="CPL12" s="68">
        <f t="shared" si="838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9"/>
        <v>565</v>
      </c>
      <c r="CPT12" s="68">
        <f t="shared" si="840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1"/>
        <v>547</v>
      </c>
      <c r="CQB12" s="68">
        <f t="shared" si="842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3"/>
        <v>978</v>
      </c>
      <c r="CQJ12" s="68">
        <f t="shared" si="844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5"/>
        <v>2354</v>
      </c>
      <c r="CQR12" s="68">
        <f t="shared" si="846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7"/>
        <v>110</v>
      </c>
      <c r="CQZ12" s="68">
        <f t="shared" si="848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9"/>
        <v>639</v>
      </c>
      <c r="CRH12" s="68">
        <f t="shared" si="850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1"/>
        <v>664</v>
      </c>
      <c r="CRP12" s="68">
        <f t="shared" si="852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3"/>
        <v>983</v>
      </c>
      <c r="CRX12" s="68">
        <f t="shared" si="854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50"/>
        <v>796</v>
      </c>
      <c r="CSF12" s="68">
        <f t="shared" si="1251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7"/>
        <v>826</v>
      </c>
      <c r="CSN12" s="68">
        <f t="shared" si="858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9"/>
        <v>674</v>
      </c>
      <c r="CSV12" s="68">
        <f t="shared" si="860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1"/>
        <v>1210</v>
      </c>
      <c r="CTD12" s="68">
        <f t="shared" si="862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3"/>
        <v>1328</v>
      </c>
      <c r="CTL12" s="68">
        <f t="shared" si="864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5"/>
        <v>623</v>
      </c>
      <c r="CTT12" s="68">
        <f t="shared" si="866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7"/>
        <v>565</v>
      </c>
      <c r="CUB12" s="68">
        <f t="shared" si="868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9"/>
        <v>887</v>
      </c>
      <c r="CUJ12" s="68">
        <f t="shared" si="870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1"/>
        <v>2116</v>
      </c>
      <c r="CUR12" s="68">
        <f t="shared" si="872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3"/>
        <v>880</v>
      </c>
      <c r="CUZ12" s="68">
        <f t="shared" si="874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5"/>
        <v>0</v>
      </c>
      <c r="CVH12" s="68">
        <f t="shared" si="876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7"/>
        <v>1687</v>
      </c>
      <c r="CVP12" s="68">
        <f t="shared" si="878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9"/>
        <v>1007</v>
      </c>
      <c r="CVX12" s="68">
        <f t="shared" si="880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1"/>
        <v>192</v>
      </c>
      <c r="CWF12" s="68">
        <f t="shared" si="882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3"/>
        <v>875</v>
      </c>
      <c r="CWN12" s="68">
        <f t="shared" si="884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5"/>
        <v>1033</v>
      </c>
      <c r="CWV12" s="43">
        <f t="shared" si="886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7"/>
        <v>26</v>
      </c>
      <c r="CXD12" s="43">
        <f t="shared" si="888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9"/>
        <v>1066</v>
      </c>
      <c r="CXL12" s="43">
        <f t="shared" si="890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1"/>
        <v>1399</v>
      </c>
      <c r="CXT12" s="43">
        <f t="shared" si="892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3"/>
        <v>1064</v>
      </c>
      <c r="CYB12" s="43">
        <f t="shared" si="894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5"/>
        <v>1673</v>
      </c>
      <c r="CYJ12" s="43">
        <f t="shared" si="896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7"/>
        <v>0</v>
      </c>
      <c r="CYR12" s="43">
        <f t="shared" si="898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9"/>
        <v>0</v>
      </c>
      <c r="CYZ12" s="43">
        <f t="shared" si="900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1"/>
        <v>1469</v>
      </c>
      <c r="CZH12" s="43">
        <f t="shared" si="902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3"/>
        <v>994</v>
      </c>
      <c r="CZP12" s="43">
        <f t="shared" si="904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5"/>
        <v>2014</v>
      </c>
      <c r="CZX12" s="43">
        <f t="shared" si="906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7"/>
        <v>44</v>
      </c>
      <c r="DAF12" s="43">
        <f t="shared" si="908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9"/>
        <v>902</v>
      </c>
      <c r="DAN12" s="43">
        <f t="shared" si="910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1"/>
        <v>364</v>
      </c>
      <c r="DAV12" s="68">
        <f t="shared" si="912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3"/>
        <v>1213</v>
      </c>
      <c r="DBD12" s="68">
        <f t="shared" si="914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5"/>
        <v>1967</v>
      </c>
      <c r="DBL12" s="68">
        <f t="shared" si="916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7"/>
        <v>0</v>
      </c>
      <c r="DBT12" s="68">
        <f t="shared" si="918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9"/>
        <v>673</v>
      </c>
      <c r="DCB12" s="184">
        <f t="shared" si="920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1"/>
        <v>2539</v>
      </c>
      <c r="DCJ12" s="211">
        <f t="shared" si="922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3"/>
        <v>38</v>
      </c>
      <c r="DCR12" s="211">
        <f t="shared" si="924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5"/>
        <v>855</v>
      </c>
      <c r="DCZ12" s="184">
        <f t="shared" si="926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7"/>
        <v>1676</v>
      </c>
      <c r="DDH12" s="211">
        <f t="shared" si="928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9"/>
        <v>657</v>
      </c>
      <c r="DDP12" s="184">
        <f t="shared" si="930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1"/>
        <v>1038</v>
      </c>
      <c r="DDX12" s="211">
        <f t="shared" si="932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3"/>
        <v>42</v>
      </c>
      <c r="DEF12" s="214">
        <f t="shared" si="934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5"/>
        <v>1180</v>
      </c>
      <c r="DEN12" s="101">
        <f t="shared" si="936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7"/>
        <v>441</v>
      </c>
      <c r="DEV12" s="101">
        <f t="shared" si="938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9"/>
        <v>1273</v>
      </c>
      <c r="DFD12" s="43">
        <f t="shared" si="940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1"/>
        <v>1228</v>
      </c>
      <c r="DFL12" s="43">
        <f t="shared" si="942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3"/>
        <v>1307</v>
      </c>
      <c r="DFT12" s="43">
        <f t="shared" si="944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5"/>
        <v>58</v>
      </c>
      <c r="DGB12" s="43">
        <f t="shared" si="946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7"/>
        <v>1324</v>
      </c>
      <c r="DGJ12" s="68">
        <f t="shared" si="948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9"/>
        <v>0</v>
      </c>
      <c r="DGR12" s="68">
        <f t="shared" si="950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1"/>
        <v>647</v>
      </c>
      <c r="DGZ12" s="68">
        <f t="shared" si="952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3"/>
        <v>1879</v>
      </c>
      <c r="DHH12" s="68">
        <f t="shared" si="954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5"/>
        <v>1345</v>
      </c>
      <c r="DHP12" s="68">
        <f t="shared" si="956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7"/>
        <v>1519</v>
      </c>
      <c r="DHX12" s="68">
        <f t="shared" si="958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9"/>
        <v>6</v>
      </c>
      <c r="DIF12" s="68">
        <f t="shared" si="960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1"/>
        <v>1366</v>
      </c>
      <c r="DIN12" s="68">
        <f t="shared" si="962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3"/>
        <v>1045</v>
      </c>
      <c r="DIV12" s="68">
        <f t="shared" si="964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5"/>
        <v>897</v>
      </c>
      <c r="DJD12" s="68">
        <f t="shared" si="966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7"/>
        <v>0</v>
      </c>
      <c r="DJL12" s="68">
        <f t="shared" si="968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9"/>
        <v>2883</v>
      </c>
      <c r="DJT12" s="68">
        <f t="shared" si="970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1"/>
        <v>0</v>
      </c>
      <c r="DKB12" s="68">
        <f t="shared" si="972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3"/>
        <v>1827</v>
      </c>
      <c r="DKJ12" s="68">
        <f t="shared" si="974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5"/>
        <v>0</v>
      </c>
      <c r="DKR12" s="68">
        <f t="shared" si="976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7"/>
        <v>671</v>
      </c>
      <c r="DKZ12" s="68">
        <f t="shared" si="978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9"/>
        <v>1017</v>
      </c>
      <c r="DLH12" s="68">
        <f t="shared" si="980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1"/>
        <v>1172</v>
      </c>
      <c r="DLP12" s="68">
        <f t="shared" si="982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3"/>
        <v>849</v>
      </c>
      <c r="DLX12" s="68">
        <f t="shared" si="984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5"/>
        <v>176</v>
      </c>
      <c r="DMF12" s="68">
        <f t="shared" si="986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7"/>
        <v>381</v>
      </c>
      <c r="DMN12" s="68">
        <f t="shared" si="988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9"/>
        <v>901</v>
      </c>
      <c r="DMV12" s="68">
        <f t="shared" si="990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1"/>
        <v>0</v>
      </c>
      <c r="DND12" s="68">
        <f t="shared" si="992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3"/>
        <v>35</v>
      </c>
      <c r="DNL12" s="68">
        <f t="shared" si="994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5"/>
        <v>503</v>
      </c>
      <c r="DNT12" s="68">
        <f t="shared" si="996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7"/>
        <v>1178</v>
      </c>
      <c r="DOB12" s="68">
        <f t="shared" si="998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9"/>
        <v>0</v>
      </c>
      <c r="DOJ12" s="68">
        <f t="shared" si="1000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1"/>
        <v>389</v>
      </c>
      <c r="DOR12" s="68">
        <f t="shared" si="1002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3"/>
        <v>0</v>
      </c>
      <c r="DOZ12" s="68">
        <f t="shared" si="1004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5"/>
        <v>0</v>
      </c>
      <c r="DPH12" s="68">
        <f t="shared" si="1006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7"/>
        <v>298</v>
      </c>
      <c r="DPP12" s="68">
        <f t="shared" si="1008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9"/>
        <v>33</v>
      </c>
      <c r="DPX12" s="68">
        <f t="shared" si="1010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11"/>
        <v>0</v>
      </c>
      <c r="DQF12" s="68">
        <f t="shared" si="1012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3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5"/>
        <v>1229</v>
      </c>
      <c r="DQV12" s="68">
        <f t="shared" si="1016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7"/>
        <v>499</v>
      </c>
      <c r="DRD12" s="68">
        <f t="shared" si="1018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9"/>
        <v>971</v>
      </c>
      <c r="DRL12" s="68">
        <f t="shared" si="1020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1"/>
        <v>343</v>
      </c>
      <c r="DRT12" s="68">
        <f t="shared" si="1022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3"/>
        <v>501</v>
      </c>
      <c r="DSB12" s="68">
        <f t="shared" si="1024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5"/>
        <v>498</v>
      </c>
      <c r="DSJ12" s="68">
        <f t="shared" si="1026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7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8"/>
        <v>468</v>
      </c>
      <c r="DSZ12" s="68">
        <f t="shared" si="1029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30"/>
        <v>1097</v>
      </c>
      <c r="DTH12" s="68">
        <f t="shared" si="1031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2"/>
        <v>0</v>
      </c>
      <c r="DTP12" s="68">
        <f t="shared" si="1033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4"/>
        <v>380</v>
      </c>
      <c r="DTX12" s="68">
        <f t="shared" si="1035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6"/>
        <v>1210</v>
      </c>
      <c r="DUF12" s="68">
        <f t="shared" si="1037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8"/>
        <v>1159</v>
      </c>
      <c r="DUN12" s="68">
        <f t="shared" si="1039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40"/>
        <v>1596</v>
      </c>
      <c r="DUV12" s="68">
        <f t="shared" si="1041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2"/>
        <v>990</v>
      </c>
      <c r="DVD12" s="68">
        <f t="shared" si="1043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4"/>
        <v>0</v>
      </c>
      <c r="DVL12" s="68">
        <f t="shared" si="1045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6"/>
        <v>1</v>
      </c>
      <c r="DVT12" s="68">
        <f t="shared" si="1047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8"/>
        <v>515</v>
      </c>
      <c r="DWB12" s="68">
        <f t="shared" si="1049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50"/>
        <v>717</v>
      </c>
      <c r="DWJ12" s="68">
        <f t="shared" si="1051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2"/>
        <v>610</v>
      </c>
      <c r="DWR12" s="68">
        <f t="shared" si="1053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4"/>
        <v>56</v>
      </c>
      <c r="DWZ12" s="68">
        <f t="shared" si="1055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6"/>
        <v>784</v>
      </c>
      <c r="DXH12" s="68">
        <f t="shared" si="1057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8"/>
        <v>902</v>
      </c>
      <c r="DXP12" s="68">
        <f t="shared" si="1059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60"/>
        <v>1596</v>
      </c>
      <c r="DXX12" s="68">
        <f t="shared" si="1061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2"/>
        <v>0</v>
      </c>
      <c r="DYF12" s="68">
        <f t="shared" si="1063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4"/>
        <v>1002</v>
      </c>
      <c r="DYN12" s="68">
        <f t="shared" si="1065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6"/>
        <v>839</v>
      </c>
      <c r="DYV12" s="68">
        <f t="shared" si="1067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8"/>
        <v>535</v>
      </c>
      <c r="DZD12" s="68">
        <f t="shared" si="1069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70"/>
        <v>356</v>
      </c>
      <c r="DZL12" s="68">
        <f t="shared" si="1071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2"/>
        <v>831</v>
      </c>
      <c r="DZT12" s="68">
        <f t="shared" si="1073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4"/>
        <v>1285</v>
      </c>
      <c r="EAB12" s="68">
        <f t="shared" si="1075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6"/>
        <v>55</v>
      </c>
      <c r="EAJ12" s="68">
        <f t="shared" si="1077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8"/>
        <v>498</v>
      </c>
      <c r="EAR12" s="68">
        <f t="shared" si="1079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80"/>
        <v>0</v>
      </c>
      <c r="EAZ12" s="68">
        <f t="shared" si="1081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2"/>
        <v>501</v>
      </c>
      <c r="EBH12" s="68">
        <f t="shared" si="1083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4"/>
        <v>0</v>
      </c>
      <c r="EBP12" s="68">
        <f t="shared" si="1085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6"/>
        <v>818</v>
      </c>
      <c r="EBX12" s="68">
        <f t="shared" si="1087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8"/>
        <v>420</v>
      </c>
      <c r="ECF12" s="68">
        <f t="shared" si="1089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90"/>
        <v>359</v>
      </c>
      <c r="ECN12" s="68">
        <f t="shared" si="1091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2"/>
        <v>492</v>
      </c>
      <c r="ECV12" s="68">
        <f t="shared" si="1093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4"/>
        <v>320</v>
      </c>
      <c r="EDD12" s="68">
        <f t="shared" si="1095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6"/>
        <v>1364</v>
      </c>
      <c r="EDL12" s="68">
        <f t="shared" si="1097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8"/>
        <v>52</v>
      </c>
      <c r="EDT12" s="68">
        <f t="shared" si="1099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100"/>
        <v>56</v>
      </c>
      <c r="EEB12" s="68">
        <f t="shared" si="1101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2"/>
        <v>0</v>
      </c>
      <c r="EEJ12" s="68">
        <f t="shared" si="1103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4"/>
        <v>472</v>
      </c>
      <c r="EER12" s="68">
        <f t="shared" si="1105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6"/>
        <v>0</v>
      </c>
      <c r="EEZ12" s="68">
        <f t="shared" si="1107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8"/>
        <v>0</v>
      </c>
      <c r="EFH12" s="68">
        <f t="shared" si="1109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10"/>
        <v>315</v>
      </c>
      <c r="EFP12" s="68">
        <f t="shared" si="1111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2"/>
        <v>867</v>
      </c>
      <c r="EFX12" s="68">
        <f t="shared" si="1113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4"/>
        <v>0</v>
      </c>
      <c r="EGF12" s="68">
        <f t="shared" si="1115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6"/>
        <v>366</v>
      </c>
      <c r="EGN12" s="68">
        <f t="shared" si="1117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8"/>
        <v>103</v>
      </c>
      <c r="EGV12" s="68">
        <f t="shared" si="1119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20"/>
        <v>414</v>
      </c>
      <c r="EHD12" s="68">
        <f t="shared" si="1121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2"/>
        <v>620</v>
      </c>
      <c r="EHL12" s="68">
        <f t="shared" si="1123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4"/>
        <v>338</v>
      </c>
      <c r="EHT12" s="68">
        <f t="shared" si="1125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6"/>
        <v>642</v>
      </c>
      <c r="EIB12" s="68">
        <f t="shared" si="1127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8"/>
        <v>519</v>
      </c>
      <c r="EIJ12" s="68">
        <f t="shared" si="1129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30"/>
        <v>0</v>
      </c>
      <c r="EIR12" s="68">
        <f t="shared" si="1131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2"/>
        <v>48</v>
      </c>
      <c r="EIZ12" s="68">
        <f t="shared" si="1133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4"/>
        <v>1003</v>
      </c>
      <c r="EJH12" s="68">
        <f t="shared" si="1135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6"/>
        <v>483</v>
      </c>
      <c r="EJP12" s="68">
        <f t="shared" si="1137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8"/>
        <v>73</v>
      </c>
      <c r="EJX12" s="68">
        <f t="shared" si="1139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40"/>
        <v>333</v>
      </c>
      <c r="EKF12" s="68">
        <f t="shared" si="1141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2"/>
        <v>491</v>
      </c>
      <c r="EKN12" s="68">
        <f t="shared" si="1143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4"/>
        <v>0</v>
      </c>
      <c r="EKV12" s="68">
        <f t="shared" si="1145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6"/>
        <v>993</v>
      </c>
      <c r="ELD12" s="68">
        <f t="shared" si="1147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8"/>
        <v>308</v>
      </c>
      <c r="ELL12" s="184">
        <f t="shared" si="1149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50"/>
        <v>0</v>
      </c>
      <c r="ELU12" s="211">
        <f t="shared" si="1151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2"/>
        <v>834</v>
      </c>
      <c r="EMC12" s="211">
        <f t="shared" si="1153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4"/>
        <v>316</v>
      </c>
      <c r="EMK12" s="211">
        <f t="shared" si="1155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6"/>
        <v>702</v>
      </c>
      <c r="EMS12" s="211">
        <f t="shared" si="1157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8"/>
        <v>62</v>
      </c>
      <c r="ENA12" s="211">
        <f t="shared" si="1159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60"/>
        <v>871</v>
      </c>
      <c r="ENI12" s="211">
        <f t="shared" si="1161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2"/>
        <v>0</v>
      </c>
      <c r="ENQ12" s="211">
        <f t="shared" si="1163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4"/>
        <v>826</v>
      </c>
      <c r="ENY12" s="211">
        <f t="shared" si="1165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6"/>
        <v>0</v>
      </c>
      <c r="EOG12" s="211">
        <f t="shared" si="1167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8"/>
        <v>663</v>
      </c>
      <c r="EOO12" s="211">
        <f t="shared" si="1169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70"/>
        <v>300</v>
      </c>
      <c r="EOW12" s="211">
        <f t="shared" si="1171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2"/>
        <v>444</v>
      </c>
      <c r="EPE12" s="211">
        <f t="shared" si="1173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4"/>
        <v>660</v>
      </c>
      <c r="EPM12" s="211">
        <f t="shared" si="1175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6"/>
        <v>125</v>
      </c>
      <c r="EPU12" s="211">
        <f t="shared" si="1177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8"/>
        <v>0</v>
      </c>
      <c r="EQC12" s="211">
        <f t="shared" si="1179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80"/>
        <v>452</v>
      </c>
      <c r="EQK12" s="211">
        <f t="shared" si="1181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2"/>
        <v>316</v>
      </c>
      <c r="EQS12" s="211">
        <f t="shared" si="1183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4"/>
        <v>501</v>
      </c>
      <c r="ERA12" s="211">
        <f t="shared" si="1185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6"/>
        <v>673</v>
      </c>
      <c r="ERI12" s="211">
        <f t="shared" si="1187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8"/>
        <v>508</v>
      </c>
      <c r="ERQ12" s="211">
        <f t="shared" si="1189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90"/>
        <v>488</v>
      </c>
      <c r="ERY12" s="211">
        <f t="shared" si="1191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2"/>
        <v>520</v>
      </c>
      <c r="ESG12" s="211">
        <f t="shared" si="1193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4"/>
        <v>195</v>
      </c>
      <c r="ESO12" s="211">
        <f t="shared" si="1195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6"/>
        <v>928</v>
      </c>
      <c r="ESW12" s="211">
        <f t="shared" si="1197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8"/>
        <v>350</v>
      </c>
      <c r="ETE12" s="736">
        <f t="shared" si="1199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200"/>
        <v>181</v>
      </c>
      <c r="ETM12" s="211">
        <f t="shared" si="1201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2"/>
        <v>308</v>
      </c>
      <c r="ETU12" s="211">
        <f t="shared" si="1203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4"/>
        <v>332</v>
      </c>
      <c r="EUC12" s="211">
        <f t="shared" si="1205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6"/>
        <v>331</v>
      </c>
      <c r="EUK12" s="211">
        <f t="shared" si="1207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8"/>
        <v>504</v>
      </c>
      <c r="EUS12" s="211">
        <f t="shared" si="1209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10"/>
        <v>0</v>
      </c>
      <c r="EVA12" s="211">
        <f t="shared" si="1211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2"/>
        <v>0</v>
      </c>
      <c r="EVI12" s="211">
        <f t="shared" si="1213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4"/>
        <v>380</v>
      </c>
      <c r="EVQ12" s="211">
        <f t="shared" si="1215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6"/>
        <v>842</v>
      </c>
      <c r="EVY12" s="211">
        <f t="shared" si="1217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8"/>
        <v>113</v>
      </c>
      <c r="EWG12" s="211">
        <f t="shared" si="1219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20"/>
        <v>1117</v>
      </c>
      <c r="EWO12" s="211">
        <f t="shared" si="1221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2"/>
        <v>0</v>
      </c>
      <c r="EWW12" s="211">
        <f t="shared" si="1223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4"/>
        <v>0</v>
      </c>
      <c r="EXE12" s="211">
        <f t="shared" si="1225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6"/>
        <v>662</v>
      </c>
      <c r="EXM12" s="211">
        <f t="shared" si="1227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8"/>
        <v>13</v>
      </c>
      <c r="EXU12" s="211">
        <f t="shared" si="1229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30"/>
        <v>357</v>
      </c>
      <c r="EYC12" s="211">
        <f t="shared" si="1231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2"/>
        <v>0</v>
      </c>
      <c r="EYK12" s="211">
        <f t="shared" si="1233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4"/>
        <v>362</v>
      </c>
      <c r="EYS12" s="211">
        <f t="shared" si="1235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6"/>
        <v>571</v>
      </c>
      <c r="EZA12" s="211">
        <f t="shared" si="1237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8"/>
        <v>80</v>
      </c>
      <c r="EZI12" s="211">
        <f t="shared" si="1239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40"/>
        <v>652</v>
      </c>
      <c r="EZQ12" s="873">
        <f t="shared" si="1241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2"/>
        <v>321</v>
      </c>
      <c r="EZY12" s="873">
        <f t="shared" si="1243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4"/>
        <v>310</v>
      </c>
      <c r="FAG12" s="873">
        <f t="shared" si="1245"/>
        <v>51.666666666666664</v>
      </c>
      <c r="FAH12" s="195">
        <v>0</v>
      </c>
      <c r="FAI12" s="49">
        <v>0</v>
      </c>
      <c r="FAJ12" s="49">
        <v>278</v>
      </c>
      <c r="FAK12" s="49">
        <v>0</v>
      </c>
      <c r="FAL12" s="49">
        <v>463</v>
      </c>
      <c r="FAM12" s="49">
        <v>0</v>
      </c>
      <c r="FAN12" s="872">
        <f t="shared" si="1246"/>
        <v>741</v>
      </c>
      <c r="FAO12" s="873">
        <f t="shared" si="1247"/>
        <v>123.5</v>
      </c>
      <c r="FAP12" s="195">
        <v>0</v>
      </c>
      <c r="FAQ12" s="49">
        <v>0</v>
      </c>
      <c r="FAR12" s="49"/>
      <c r="FAS12" s="49"/>
      <c r="FAT12" s="49"/>
      <c r="FAU12" s="49"/>
      <c r="FAV12" s="872">
        <f t="shared" si="1248"/>
        <v>0</v>
      </c>
      <c r="FAW12" s="873">
        <f t="shared" si="1249"/>
        <v>0</v>
      </c>
    </row>
    <row r="13" spans="1:4105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6250</v>
      </c>
      <c r="G13" s="24"/>
      <c r="H13" s="24"/>
      <c r="I13" s="24"/>
      <c r="J13" s="360">
        <f>SUMIF(SUMPK!$B:$B,$B:$B,SUMPK!$O:$O)</f>
        <v>0</v>
      </c>
      <c r="K13" s="24"/>
      <c r="L13" s="24">
        <f t="shared" si="569"/>
        <v>6250</v>
      </c>
      <c r="M13" s="24">
        <f t="shared" si="570"/>
        <v>6250</v>
      </c>
      <c r="N13" s="15">
        <v>223.83333333333334</v>
      </c>
      <c r="O13" s="276">
        <f t="shared" si="0"/>
        <v>27.922561429635145</v>
      </c>
      <c r="P13" s="15">
        <v>128</v>
      </c>
      <c r="Q13" s="276">
        <f t="shared" si="571"/>
        <v>292.96875</v>
      </c>
      <c r="R13" s="277">
        <f t="shared" si="572"/>
        <v>230.76923076923077</v>
      </c>
      <c r="S13" s="222">
        <v>6000</v>
      </c>
      <c r="T13" s="276">
        <f t="shared" si="573"/>
        <v>27.083333333333332</v>
      </c>
      <c r="U13" s="278"/>
      <c r="V13" s="277">
        <f t="shared" si="1"/>
        <v>27.083333333333332</v>
      </c>
      <c r="W13" s="320">
        <f t="shared" ref="W13:W23" si="1252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4"/>
        <v>396</v>
      </c>
      <c r="BAV13" s="43">
        <f t="shared" si="575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6"/>
        <v>591</v>
      </c>
      <c r="BBD13" s="43">
        <f t="shared" si="577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8"/>
        <v>2144</v>
      </c>
      <c r="BBL13" s="43">
        <f t="shared" si="579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80"/>
        <v>578</v>
      </c>
      <c r="BBT13" s="43">
        <f t="shared" si="581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2"/>
        <v>584</v>
      </c>
      <c r="BCB13" s="43">
        <f t="shared" si="583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4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5"/>
        <v>436</v>
      </c>
      <c r="BCR13" s="43">
        <f t="shared" si="586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7"/>
        <v>234</v>
      </c>
      <c r="BCZ13" s="43">
        <f t="shared" si="588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9"/>
        <v>316</v>
      </c>
      <c r="BDH13" s="43">
        <f t="shared" si="590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1"/>
        <v>430</v>
      </c>
      <c r="BDP13" s="43">
        <f t="shared" si="592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3"/>
        <v>149</v>
      </c>
      <c r="BDX13" s="43">
        <f t="shared" si="594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5"/>
        <v>74</v>
      </c>
      <c r="BEF13" s="43">
        <f t="shared" si="596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7"/>
        <v>585</v>
      </c>
      <c r="BEN13" s="43">
        <f t="shared" si="598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9"/>
        <v>566</v>
      </c>
      <c r="BEV13" s="43">
        <f t="shared" si="600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1"/>
        <v>320</v>
      </c>
      <c r="BFD13" s="43">
        <f t="shared" si="602"/>
        <v>53.333333333333336</v>
      </c>
      <c r="BFE13" s="63"/>
      <c r="BFF13" s="64"/>
      <c r="BFG13" s="64"/>
      <c r="BFH13" s="64"/>
      <c r="BFI13" s="64"/>
      <c r="BFJ13" s="64"/>
      <c r="BFK13" s="67">
        <f t="shared" si="603"/>
        <v>0</v>
      </c>
      <c r="BFL13" s="68">
        <f t="shared" si="604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5"/>
        <v>832</v>
      </c>
      <c r="BFT13" s="68">
        <f t="shared" si="606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7"/>
        <v>1302</v>
      </c>
      <c r="BGB13" s="68">
        <f t="shared" si="608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9"/>
        <v>486</v>
      </c>
      <c r="BGJ13" s="68">
        <f t="shared" si="610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1"/>
        <v>596</v>
      </c>
      <c r="BGR13" s="68">
        <f t="shared" si="612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3"/>
        <v>1143</v>
      </c>
      <c r="BGZ13" s="68">
        <f t="shared" si="614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5"/>
        <v>90</v>
      </c>
      <c r="BHH13" s="68">
        <f t="shared" si="616"/>
        <v>15</v>
      </c>
      <c r="BHI13" s="48"/>
      <c r="BHJ13" s="49"/>
      <c r="BHK13" s="49"/>
      <c r="BHL13" s="49"/>
      <c r="BHM13" s="49"/>
      <c r="BHN13" s="49"/>
      <c r="BHO13" s="67">
        <f t="shared" si="617"/>
        <v>0</v>
      </c>
      <c r="BHP13" s="184">
        <f t="shared" si="618"/>
        <v>0</v>
      </c>
      <c r="BHQ13" s="244"/>
      <c r="BHR13" s="64"/>
      <c r="BHS13" s="64"/>
      <c r="BHT13" s="64"/>
      <c r="BHU13" s="64"/>
      <c r="BHV13" s="64"/>
      <c r="BHW13" s="67">
        <f t="shared" si="619"/>
        <v>0</v>
      </c>
      <c r="BHX13" s="211">
        <f t="shared" si="620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1"/>
        <v>1172</v>
      </c>
      <c r="BIF13" s="184">
        <f t="shared" si="622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3"/>
        <v>991</v>
      </c>
      <c r="BIN13" s="184">
        <f t="shared" si="624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5"/>
        <v>0</v>
      </c>
      <c r="BIV13" s="211">
        <f t="shared" si="626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7"/>
        <v>324</v>
      </c>
      <c r="BJD13" s="211">
        <f t="shared" si="628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9"/>
        <v>820</v>
      </c>
      <c r="BJL13" s="211">
        <f t="shared" si="630"/>
        <v>136.66666666666666</v>
      </c>
      <c r="BJM13" s="195"/>
      <c r="BJN13" s="49"/>
      <c r="BJO13" s="49"/>
      <c r="BJP13" s="49"/>
      <c r="BJQ13" s="49"/>
      <c r="BJR13" s="49"/>
      <c r="BJS13" s="67">
        <f t="shared" si="631"/>
        <v>0</v>
      </c>
      <c r="BJT13" s="184">
        <f t="shared" si="632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3"/>
        <v>150</v>
      </c>
      <c r="BKB13" s="184">
        <f t="shared" si="634"/>
        <v>25</v>
      </c>
      <c r="BKC13" s="195"/>
      <c r="BKD13" s="49"/>
      <c r="BKE13" s="49"/>
      <c r="BKF13" s="49"/>
      <c r="BKG13" s="49"/>
      <c r="BKH13" s="49"/>
      <c r="BKI13" s="67">
        <f t="shared" si="635"/>
        <v>0</v>
      </c>
      <c r="BKJ13" s="184">
        <f t="shared" si="636"/>
        <v>0</v>
      </c>
      <c r="BKK13" s="244"/>
      <c r="BKL13" s="64"/>
      <c r="BKM13" s="64"/>
      <c r="BKN13" s="64"/>
      <c r="BKO13" s="64"/>
      <c r="BKP13" s="64"/>
      <c r="BKQ13" s="67">
        <f t="shared" si="637"/>
        <v>0</v>
      </c>
      <c r="BKR13" s="184">
        <f t="shared" si="638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9"/>
        <v>885</v>
      </c>
      <c r="BKZ13" s="211">
        <f t="shared" si="640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1"/>
        <v>870</v>
      </c>
      <c r="BLH13" s="211">
        <f t="shared" si="642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3"/>
        <v>706</v>
      </c>
      <c r="BLP13" s="184">
        <f t="shared" si="644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5"/>
        <v>2227</v>
      </c>
      <c r="BLX13" s="184">
        <f t="shared" si="646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7"/>
        <v>708</v>
      </c>
      <c r="BMF13" s="68">
        <f t="shared" si="648"/>
        <v>118</v>
      </c>
      <c r="BMG13" s="63"/>
      <c r="BMH13" s="64"/>
      <c r="BMI13" s="64"/>
      <c r="BMJ13" s="64"/>
      <c r="BMK13" s="64"/>
      <c r="BML13" s="64"/>
      <c r="BMM13" s="67">
        <f t="shared" si="649"/>
        <v>0</v>
      </c>
      <c r="BMN13" s="68">
        <f t="shared" si="650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1"/>
        <v>348</v>
      </c>
      <c r="BMV13" s="68">
        <f t="shared" si="652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3"/>
        <v>213</v>
      </c>
      <c r="BND13" s="68">
        <f t="shared" si="654"/>
        <v>35.5</v>
      </c>
      <c r="BNE13" s="63"/>
      <c r="BNF13" s="64"/>
      <c r="BNG13" s="64"/>
      <c r="BNH13" s="64"/>
      <c r="BNI13" s="64"/>
      <c r="BNJ13" s="64"/>
      <c r="BNK13" s="67">
        <f t="shared" si="655"/>
        <v>0</v>
      </c>
      <c r="BNL13" s="68">
        <f t="shared" si="656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7"/>
        <v>825</v>
      </c>
      <c r="BNT13" s="68">
        <f t="shared" si="658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9"/>
        <v>106</v>
      </c>
      <c r="BOB13" s="184">
        <f t="shared" si="660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1"/>
        <v>865</v>
      </c>
      <c r="BOJ13" s="184">
        <f t="shared" si="662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3"/>
        <v>2465</v>
      </c>
      <c r="BOR13" s="68">
        <f t="shared" si="664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5"/>
        <v>1712</v>
      </c>
      <c r="BOZ13" s="68">
        <f t="shared" si="666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7"/>
        <v>1764</v>
      </c>
      <c r="BPH13" s="68">
        <f t="shared" si="668"/>
        <v>294</v>
      </c>
      <c r="BPI13" s="63"/>
      <c r="BPJ13" s="64"/>
      <c r="BPK13" s="64"/>
      <c r="BPL13" s="64"/>
      <c r="BPM13" s="64"/>
      <c r="BPN13" s="64"/>
      <c r="BPO13" s="67">
        <f t="shared" si="669"/>
        <v>0</v>
      </c>
      <c r="BPP13" s="68">
        <f t="shared" si="670"/>
        <v>0</v>
      </c>
      <c r="BPQ13" s="63"/>
      <c r="BPR13" s="64"/>
      <c r="BPS13" s="64"/>
      <c r="BPT13" s="64"/>
      <c r="BPU13" s="64"/>
      <c r="BPV13" s="64"/>
      <c r="BPW13" s="67">
        <f t="shared" si="671"/>
        <v>0</v>
      </c>
      <c r="BPX13" s="68">
        <f t="shared" si="672"/>
        <v>0</v>
      </c>
      <c r="BPY13" s="63"/>
      <c r="BPZ13" s="64"/>
      <c r="BQA13" s="64"/>
      <c r="BQB13" s="64"/>
      <c r="BQC13" s="64"/>
      <c r="BQD13" s="64"/>
      <c r="BQE13" s="67">
        <f t="shared" si="673"/>
        <v>0</v>
      </c>
      <c r="BQF13" s="68">
        <f t="shared" si="674"/>
        <v>0</v>
      </c>
      <c r="BQG13" s="63"/>
      <c r="BQH13" s="64"/>
      <c r="BQI13" s="64"/>
      <c r="BQJ13" s="64"/>
      <c r="BQK13" s="64"/>
      <c r="BQL13" s="64"/>
      <c r="BQM13" s="67">
        <f t="shared" si="675"/>
        <v>0</v>
      </c>
      <c r="BQN13" s="68">
        <f t="shared" si="676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7"/>
        <v>170</v>
      </c>
      <c r="BQV13" s="68">
        <f t="shared" si="678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9"/>
        <v>777</v>
      </c>
      <c r="BRD13" s="68">
        <f t="shared" si="680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1"/>
        <v>843</v>
      </c>
      <c r="BRL13" s="68">
        <f t="shared" si="682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3"/>
        <v>0</v>
      </c>
      <c r="BRT13" s="68">
        <f t="shared" si="684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5"/>
        <v>1554</v>
      </c>
      <c r="BSB13" s="68">
        <f t="shared" si="686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7"/>
        <v>1100</v>
      </c>
      <c r="BSJ13" s="68">
        <f t="shared" si="688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9"/>
        <v>1326</v>
      </c>
      <c r="BSR13" s="68">
        <f t="shared" si="690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1"/>
        <v>1137</v>
      </c>
      <c r="BSZ13" s="68">
        <f t="shared" si="692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3"/>
        <v>1521</v>
      </c>
      <c r="BTH13" s="68">
        <f t="shared" si="694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5"/>
        <v>0</v>
      </c>
      <c r="BTP13" s="68">
        <f t="shared" si="696"/>
        <v>0</v>
      </c>
      <c r="BTQ13" s="63"/>
      <c r="BTR13" s="64"/>
      <c r="BTS13" s="64"/>
      <c r="BTT13" s="64"/>
      <c r="BTU13" s="64"/>
      <c r="BTV13" s="64"/>
      <c r="BTW13" s="67">
        <f t="shared" si="697"/>
        <v>0</v>
      </c>
      <c r="BTX13" s="184">
        <f t="shared" si="698"/>
        <v>0</v>
      </c>
      <c r="BTY13" s="244"/>
      <c r="BTZ13" s="64"/>
      <c r="BUA13" s="64"/>
      <c r="BUB13" s="64"/>
      <c r="BUC13" s="64"/>
      <c r="BUD13" s="64"/>
      <c r="BUE13" s="67">
        <f t="shared" si="699"/>
        <v>0</v>
      </c>
      <c r="BUF13" s="184">
        <f t="shared" si="700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1"/>
        <v>506</v>
      </c>
      <c r="BUN13" s="211">
        <f t="shared" si="702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3"/>
        <v>1058</v>
      </c>
      <c r="BUV13" s="211">
        <f t="shared" si="704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5"/>
        <v>1403</v>
      </c>
      <c r="BVD13" s="211">
        <f t="shared" si="706"/>
        <v>233.83333333333334</v>
      </c>
      <c r="BVE13" s="244"/>
      <c r="BVF13" s="64"/>
      <c r="BVG13" s="64"/>
      <c r="BVH13" s="64"/>
      <c r="BVI13" s="64"/>
      <c r="BVJ13" s="64"/>
      <c r="BVK13" s="67">
        <f t="shared" si="707"/>
        <v>0</v>
      </c>
      <c r="BVL13" s="184">
        <f t="shared" si="708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9"/>
        <v>1630</v>
      </c>
      <c r="BVT13" s="211">
        <f t="shared" si="710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1"/>
        <v>2041</v>
      </c>
      <c r="BWB13" s="184">
        <f t="shared" si="712"/>
        <v>340.16666666666669</v>
      </c>
      <c r="BWC13" s="244"/>
      <c r="BWD13" s="64"/>
      <c r="BWE13" s="64"/>
      <c r="BWF13" s="64"/>
      <c r="BWG13" s="64"/>
      <c r="BWH13" s="64"/>
      <c r="BWI13" s="67">
        <f t="shared" si="713"/>
        <v>0</v>
      </c>
      <c r="BWJ13" s="184">
        <f t="shared" si="714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5"/>
        <v>1017</v>
      </c>
      <c r="BWR13" s="211">
        <f t="shared" si="716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7"/>
        <v>77</v>
      </c>
      <c r="BWZ13" s="211">
        <f t="shared" si="718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9"/>
        <v>0</v>
      </c>
      <c r="BXH13" s="211">
        <f t="shared" si="720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1"/>
        <v>1925</v>
      </c>
      <c r="BXP13" s="184">
        <f t="shared" si="722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3"/>
        <v>856</v>
      </c>
      <c r="BXX13" s="184">
        <f t="shared" si="724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5"/>
        <v>1043</v>
      </c>
      <c r="BYF13" s="211">
        <f t="shared" si="726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7"/>
        <v>1320</v>
      </c>
      <c r="BYN13" s="184">
        <f t="shared" si="728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9"/>
        <v>702</v>
      </c>
      <c r="BYV13" s="211">
        <f t="shared" si="730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1"/>
        <v>1246</v>
      </c>
      <c r="BZD13" s="184">
        <f t="shared" si="732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3"/>
        <v>1396</v>
      </c>
      <c r="BZL13" s="184">
        <f t="shared" si="734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5"/>
        <v>588</v>
      </c>
      <c r="BZT13" s="68">
        <f t="shared" si="736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7"/>
        <v>2327</v>
      </c>
      <c r="CAB13" s="68">
        <f t="shared" si="738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9"/>
        <v>915</v>
      </c>
      <c r="CAJ13" s="68">
        <f t="shared" si="740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1"/>
        <v>1008</v>
      </c>
      <c r="CAR13" s="184">
        <f t="shared" si="742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3"/>
        <v>753</v>
      </c>
      <c r="CAZ13" s="211">
        <f t="shared" si="744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5"/>
        <v>1356</v>
      </c>
      <c r="CBH13" s="211">
        <f t="shared" si="746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7"/>
        <v>4994</v>
      </c>
      <c r="CBP13" s="184">
        <f t="shared" si="748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9"/>
        <v>918</v>
      </c>
      <c r="CBX13" s="68">
        <f t="shared" si="750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1"/>
        <v>1597</v>
      </c>
      <c r="CCF13" s="68">
        <f t="shared" si="752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3"/>
        <v>1029</v>
      </c>
      <c r="CCN13" s="68">
        <f t="shared" si="754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5"/>
        <v>706</v>
      </c>
      <c r="CCV13" s="68">
        <f t="shared" si="756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7"/>
        <v>2118</v>
      </c>
      <c r="CDD13" s="68">
        <f t="shared" si="758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9"/>
        <v>916</v>
      </c>
      <c r="CDL13" s="68">
        <f t="shared" si="760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1"/>
        <v>2060</v>
      </c>
      <c r="CDT13" s="68">
        <f t="shared" si="762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3"/>
        <v>1903</v>
      </c>
      <c r="CEB13" s="68">
        <f t="shared" si="764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5"/>
        <v>1618</v>
      </c>
      <c r="CEJ13" s="68">
        <f t="shared" si="766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7"/>
        <v>643</v>
      </c>
      <c r="CER13" s="68">
        <f t="shared" si="768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9"/>
        <v>1704</v>
      </c>
      <c r="CEZ13" s="68">
        <f t="shared" si="770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1"/>
        <v>938</v>
      </c>
      <c r="CFH13" s="68">
        <f t="shared" si="772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3"/>
        <v>1433</v>
      </c>
      <c r="CFP13" s="68">
        <f t="shared" si="774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5"/>
        <v>1919</v>
      </c>
      <c r="CFX13" s="68">
        <f t="shared" si="776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7"/>
        <v>1692</v>
      </c>
      <c r="CGF13" s="68">
        <f t="shared" si="778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9"/>
        <v>2919</v>
      </c>
      <c r="CGN13" s="68">
        <f t="shared" si="780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1"/>
        <v>1649</v>
      </c>
      <c r="CGV13" s="68">
        <f t="shared" si="782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3"/>
        <v>2262</v>
      </c>
      <c r="CHD13" s="68">
        <f t="shared" si="784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5"/>
        <v>1613</v>
      </c>
      <c r="CHL13" s="68">
        <f t="shared" si="786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7"/>
        <v>2760</v>
      </c>
      <c r="CHT13" s="68">
        <f t="shared" si="788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9"/>
        <v>1951</v>
      </c>
      <c r="CIB13" s="68">
        <f t="shared" si="790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1"/>
        <v>1850</v>
      </c>
      <c r="CIJ13" s="68">
        <f t="shared" si="792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3"/>
        <v>1356</v>
      </c>
      <c r="CIR13" s="68">
        <f t="shared" si="794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5"/>
        <v>2319</v>
      </c>
      <c r="CIZ13" s="68">
        <f t="shared" si="796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7"/>
        <v>3012</v>
      </c>
      <c r="CJH13" s="68">
        <f t="shared" si="798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9"/>
        <v>985</v>
      </c>
      <c r="CJP13" s="68">
        <f t="shared" si="800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1"/>
        <v>3375</v>
      </c>
      <c r="CJX13" s="68">
        <f t="shared" si="802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3"/>
        <v>2008</v>
      </c>
      <c r="CKF13" s="68">
        <f t="shared" si="804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5"/>
        <v>1668</v>
      </c>
      <c r="CKN13" s="68">
        <f t="shared" si="806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7"/>
        <v>2713</v>
      </c>
      <c r="CKV13" s="68">
        <f t="shared" si="808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9"/>
        <v>3804</v>
      </c>
      <c r="CLD13" s="68">
        <f t="shared" si="810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1"/>
        <v>988</v>
      </c>
      <c r="CLL13" s="68">
        <f t="shared" si="812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3"/>
        <v>2228</v>
      </c>
      <c r="CLT13" s="184">
        <f t="shared" si="814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5"/>
        <v>3449</v>
      </c>
      <c r="CMB13" s="68">
        <f t="shared" si="816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7"/>
        <v>1679</v>
      </c>
      <c r="CMJ13" s="68">
        <f t="shared" si="818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9"/>
        <v>4098</v>
      </c>
      <c r="CMR13" s="68">
        <f t="shared" si="820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1"/>
        <v>1336</v>
      </c>
      <c r="CMZ13" s="68">
        <f t="shared" si="822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3"/>
        <v>3284</v>
      </c>
      <c r="CNH13" s="68">
        <f t="shared" si="824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5"/>
        <v>3358</v>
      </c>
      <c r="CNP13" s="68">
        <f t="shared" si="826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7"/>
        <v>3445</v>
      </c>
      <c r="CNX13" s="68">
        <f t="shared" si="828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9"/>
        <v>1495</v>
      </c>
      <c r="COF13" s="68">
        <f t="shared" si="830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1"/>
        <v>2608</v>
      </c>
      <c r="CON13" s="68">
        <f t="shared" si="832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3"/>
        <v>3658</v>
      </c>
      <c r="COV13" s="68">
        <f t="shared" si="834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5"/>
        <v>2454</v>
      </c>
      <c r="CPD13" s="68">
        <f t="shared" si="836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7"/>
        <v>2038</v>
      </c>
      <c r="CPL13" s="68">
        <f t="shared" si="838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9"/>
        <v>3875</v>
      </c>
      <c r="CPT13" s="68">
        <f t="shared" si="840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1"/>
        <v>2860</v>
      </c>
      <c r="CQB13" s="68">
        <f t="shared" si="842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3"/>
        <v>3457</v>
      </c>
      <c r="CQJ13" s="68">
        <f t="shared" si="844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5"/>
        <v>2333</v>
      </c>
      <c r="CQR13" s="68">
        <f t="shared" si="846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7"/>
        <v>5258</v>
      </c>
      <c r="CQZ13" s="68">
        <f t="shared" si="848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9"/>
        <v>3794</v>
      </c>
      <c r="CRH13" s="68">
        <f t="shared" si="850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1"/>
        <v>4387</v>
      </c>
      <c r="CRP13" s="68">
        <f t="shared" si="852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3"/>
        <v>1300</v>
      </c>
      <c r="CRX13" s="68">
        <f t="shared" si="854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50"/>
        <v>1459</v>
      </c>
      <c r="CSF13" s="68">
        <f t="shared" si="1251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7"/>
        <v>5755</v>
      </c>
      <c r="CSN13" s="68">
        <f t="shared" si="858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9"/>
        <v>5456</v>
      </c>
      <c r="CSV13" s="68">
        <f t="shared" si="860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1"/>
        <v>1682</v>
      </c>
      <c r="CTD13" s="68">
        <f t="shared" si="862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3"/>
        <v>3397</v>
      </c>
      <c r="CTL13" s="68">
        <f t="shared" si="864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5"/>
        <v>3600</v>
      </c>
      <c r="CTT13" s="68">
        <f t="shared" si="866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7"/>
        <v>3011</v>
      </c>
      <c r="CUB13" s="68">
        <f t="shared" si="868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9"/>
        <v>4654</v>
      </c>
      <c r="CUJ13" s="68">
        <f t="shared" si="870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1"/>
        <v>2955</v>
      </c>
      <c r="CUR13" s="68">
        <f t="shared" si="872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3"/>
        <v>662</v>
      </c>
      <c r="CUZ13" s="68">
        <f t="shared" si="874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5"/>
        <v>4527</v>
      </c>
      <c r="CVH13" s="68">
        <f t="shared" si="876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7"/>
        <v>2703</v>
      </c>
      <c r="CVP13" s="68">
        <f t="shared" si="878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9"/>
        <v>3676</v>
      </c>
      <c r="CVX13" s="68">
        <f t="shared" si="880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1"/>
        <v>3235</v>
      </c>
      <c r="CWF13" s="68">
        <f t="shared" si="882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3"/>
        <v>6786</v>
      </c>
      <c r="CWN13" s="68">
        <f t="shared" si="884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5"/>
        <v>332</v>
      </c>
      <c r="CWV13" s="43">
        <f t="shared" si="886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7"/>
        <v>1231</v>
      </c>
      <c r="CXD13" s="43">
        <f t="shared" si="888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9"/>
        <v>3226</v>
      </c>
      <c r="CXL13" s="43">
        <f t="shared" si="890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1"/>
        <v>3116</v>
      </c>
      <c r="CXT13" s="43">
        <f t="shared" si="892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3"/>
        <v>2896</v>
      </c>
      <c r="CYB13" s="43">
        <f t="shared" si="894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5"/>
        <v>5397</v>
      </c>
      <c r="CYJ13" s="43">
        <f t="shared" si="896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7"/>
        <v>4139</v>
      </c>
      <c r="CYR13" s="43">
        <f t="shared" si="898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9"/>
        <v>4778</v>
      </c>
      <c r="CYZ13" s="43">
        <f t="shared" si="900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1"/>
        <v>1678</v>
      </c>
      <c r="CZH13" s="43">
        <f t="shared" si="902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3"/>
        <v>3317</v>
      </c>
      <c r="CZP13" s="43">
        <f t="shared" si="904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5"/>
        <v>2019</v>
      </c>
      <c r="CZX13" s="43">
        <f t="shared" si="906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7"/>
        <v>1688</v>
      </c>
      <c r="DAF13" s="43">
        <f t="shared" si="908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9"/>
        <v>4524</v>
      </c>
      <c r="DAN13" s="43">
        <f t="shared" si="910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1"/>
        <v>3434</v>
      </c>
      <c r="DAV13" s="68">
        <f t="shared" si="912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3"/>
        <v>2490</v>
      </c>
      <c r="DBD13" s="68">
        <f t="shared" si="914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5"/>
        <v>3603</v>
      </c>
      <c r="DBL13" s="68">
        <f t="shared" si="916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7"/>
        <v>4437</v>
      </c>
      <c r="DBT13" s="68">
        <f t="shared" si="918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9"/>
        <v>546</v>
      </c>
      <c r="DCB13" s="184">
        <f t="shared" si="920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1"/>
        <v>4794</v>
      </c>
      <c r="DCJ13" s="211">
        <f t="shared" si="922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3"/>
        <v>3398</v>
      </c>
      <c r="DCR13" s="211">
        <f t="shared" si="924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5"/>
        <v>4126</v>
      </c>
      <c r="DCZ13" s="184">
        <f t="shared" si="926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7"/>
        <v>3338</v>
      </c>
      <c r="DDH13" s="211">
        <f t="shared" si="928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9"/>
        <v>2399</v>
      </c>
      <c r="DDP13" s="184">
        <f t="shared" si="930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1"/>
        <v>4433</v>
      </c>
      <c r="DDX13" s="211">
        <f t="shared" si="932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3"/>
        <v>4086</v>
      </c>
      <c r="DEF13" s="214">
        <f t="shared" si="934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5"/>
        <v>1819</v>
      </c>
      <c r="DEN13" s="101">
        <f t="shared" si="936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7"/>
        <v>1686</v>
      </c>
      <c r="DEV13" s="101">
        <f t="shared" si="938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9"/>
        <v>1902</v>
      </c>
      <c r="DFD13" s="43">
        <f t="shared" si="940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1"/>
        <v>6428</v>
      </c>
      <c r="DFL13" s="43">
        <f t="shared" si="942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3"/>
        <v>2024</v>
      </c>
      <c r="DFT13" s="43">
        <f t="shared" si="944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5"/>
        <v>1926</v>
      </c>
      <c r="DGB13" s="43">
        <f t="shared" si="946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7"/>
        <v>3539</v>
      </c>
      <c r="DGJ13" s="68">
        <f t="shared" si="948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9"/>
        <v>4026</v>
      </c>
      <c r="DGR13" s="68">
        <f t="shared" si="950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1"/>
        <v>2425</v>
      </c>
      <c r="DGZ13" s="68">
        <f t="shared" si="952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3"/>
        <v>3273</v>
      </c>
      <c r="DHH13" s="68">
        <f t="shared" si="954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5"/>
        <v>2558</v>
      </c>
      <c r="DHP13" s="68">
        <f t="shared" si="956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7"/>
        <v>0</v>
      </c>
      <c r="DHX13" s="68">
        <f t="shared" si="958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9"/>
        <v>6852</v>
      </c>
      <c r="DIF13" s="68">
        <f t="shared" si="960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1"/>
        <v>3018</v>
      </c>
      <c r="DIN13" s="68">
        <f t="shared" si="962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3"/>
        <v>4262</v>
      </c>
      <c r="DIV13" s="68">
        <f t="shared" si="964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5"/>
        <v>870</v>
      </c>
      <c r="DJD13" s="68">
        <f t="shared" si="966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7"/>
        <v>2982</v>
      </c>
      <c r="DJL13" s="68">
        <f t="shared" si="968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9"/>
        <v>3932</v>
      </c>
      <c r="DJT13" s="68">
        <f t="shared" si="970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1"/>
        <v>6208</v>
      </c>
      <c r="DKB13" s="68">
        <f t="shared" si="972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3"/>
        <v>4961</v>
      </c>
      <c r="DKJ13" s="68">
        <f t="shared" si="974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5"/>
        <v>354</v>
      </c>
      <c r="DKR13" s="68">
        <f t="shared" si="976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7"/>
        <v>1037</v>
      </c>
      <c r="DKZ13" s="68">
        <f t="shared" si="978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9"/>
        <v>1835</v>
      </c>
      <c r="DLH13" s="68">
        <f t="shared" si="980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1"/>
        <v>4052</v>
      </c>
      <c r="DLP13" s="68">
        <f t="shared" si="982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3"/>
        <v>1532</v>
      </c>
      <c r="DLX13" s="68">
        <f t="shared" si="984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5"/>
        <v>1790</v>
      </c>
      <c r="DMF13" s="68">
        <f t="shared" si="986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7"/>
        <v>2288</v>
      </c>
      <c r="DMN13" s="68">
        <f t="shared" si="988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9"/>
        <v>1957</v>
      </c>
      <c r="DMV13" s="68">
        <f t="shared" si="990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1"/>
        <v>2547</v>
      </c>
      <c r="DND13" s="68">
        <f t="shared" si="992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3"/>
        <v>210</v>
      </c>
      <c r="DNL13" s="68">
        <f t="shared" si="994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5"/>
        <v>718</v>
      </c>
      <c r="DNT13" s="68">
        <f t="shared" si="996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7"/>
        <v>2099</v>
      </c>
      <c r="DOB13" s="68">
        <f t="shared" si="998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9"/>
        <v>359</v>
      </c>
      <c r="DOJ13" s="68">
        <f t="shared" si="1000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1"/>
        <v>3294</v>
      </c>
      <c r="DOR13" s="68">
        <f t="shared" si="1002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3"/>
        <v>1668</v>
      </c>
      <c r="DOZ13" s="68">
        <f t="shared" si="1004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5"/>
        <v>1507</v>
      </c>
      <c r="DPH13" s="68">
        <f t="shared" si="1006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7"/>
        <v>815</v>
      </c>
      <c r="DPP13" s="68">
        <f t="shared" si="1008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9"/>
        <v>0</v>
      </c>
      <c r="DPX13" s="68">
        <f t="shared" si="1010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1"/>
        <v>0</v>
      </c>
      <c r="DQF13" s="68">
        <f t="shared" si="1012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3"/>
        <v>13</v>
      </c>
      <c r="DQN13" s="68">
        <f t="shared" si="1014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5"/>
        <v>3160</v>
      </c>
      <c r="DQV13" s="68">
        <f t="shared" si="1016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7"/>
        <v>399</v>
      </c>
      <c r="DRD13" s="68">
        <f t="shared" si="1018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9"/>
        <v>1287</v>
      </c>
      <c r="DRL13" s="68">
        <f t="shared" si="1020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1"/>
        <v>2395</v>
      </c>
      <c r="DRT13" s="68">
        <f t="shared" si="1022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3"/>
        <v>820</v>
      </c>
      <c r="DSB13" s="68">
        <f t="shared" si="1024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5"/>
        <v>4434</v>
      </c>
      <c r="DSJ13" s="68">
        <f t="shared" si="1026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7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8"/>
        <v>1322</v>
      </c>
      <c r="DSZ13" s="68">
        <f t="shared" si="1029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30"/>
        <v>1257</v>
      </c>
      <c r="DTH13" s="68">
        <f t="shared" si="1031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2"/>
        <v>3548</v>
      </c>
      <c r="DTP13" s="68">
        <f t="shared" si="1033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4"/>
        <v>876</v>
      </c>
      <c r="DTX13" s="68">
        <f t="shared" si="1035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6"/>
        <v>2505</v>
      </c>
      <c r="DUF13" s="68">
        <f t="shared" si="1037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8"/>
        <v>1868</v>
      </c>
      <c r="DUN13" s="68">
        <f t="shared" si="1039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40"/>
        <v>2531</v>
      </c>
      <c r="DUV13" s="68">
        <f t="shared" si="1041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2"/>
        <v>4348</v>
      </c>
      <c r="DVD13" s="68">
        <f t="shared" si="1043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4"/>
        <v>3950</v>
      </c>
      <c r="DVL13" s="68">
        <f t="shared" si="1045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6"/>
        <v>637</v>
      </c>
      <c r="DVT13" s="68">
        <f t="shared" si="1047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8"/>
        <v>2673</v>
      </c>
      <c r="DWB13" s="68">
        <f t="shared" si="1049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50"/>
        <v>1641</v>
      </c>
      <c r="DWJ13" s="68">
        <f t="shared" si="1051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2"/>
        <v>2862</v>
      </c>
      <c r="DWR13" s="68">
        <f t="shared" si="1053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4"/>
        <v>29</v>
      </c>
      <c r="DWZ13" s="68">
        <f t="shared" si="1055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6"/>
        <v>130</v>
      </c>
      <c r="DXH13" s="68">
        <f t="shared" si="1057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8"/>
        <v>1044</v>
      </c>
      <c r="DXP13" s="68">
        <f t="shared" si="1059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60"/>
        <v>897</v>
      </c>
      <c r="DXX13" s="68">
        <f t="shared" si="1061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2"/>
        <v>4102</v>
      </c>
      <c r="DYF13" s="68">
        <f t="shared" si="1063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4"/>
        <v>1398</v>
      </c>
      <c r="DYN13" s="68">
        <f t="shared" si="1065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6"/>
        <v>3224</v>
      </c>
      <c r="DYV13" s="68">
        <f t="shared" si="1067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8"/>
        <v>1639</v>
      </c>
      <c r="DZD13" s="68">
        <f t="shared" si="1069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70"/>
        <v>2294</v>
      </c>
      <c r="DZL13" s="68">
        <f t="shared" si="1071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2"/>
        <v>2088</v>
      </c>
      <c r="DZT13" s="68">
        <f t="shared" si="1073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4"/>
        <v>628</v>
      </c>
      <c r="EAB13" s="68">
        <f t="shared" si="1075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6"/>
        <v>3780</v>
      </c>
      <c r="EAJ13" s="68">
        <f t="shared" si="1077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8"/>
        <v>3721</v>
      </c>
      <c r="EAR13" s="68">
        <f t="shared" si="1079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80"/>
        <v>220</v>
      </c>
      <c r="EAZ13" s="68">
        <f t="shared" si="1081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2"/>
        <v>0</v>
      </c>
      <c r="EBH13" s="68">
        <f t="shared" si="1083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4"/>
        <v>1520</v>
      </c>
      <c r="EBP13" s="68">
        <f t="shared" si="1085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6"/>
        <v>1163</v>
      </c>
      <c r="EBX13" s="68">
        <f t="shared" si="1087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8"/>
        <v>1976</v>
      </c>
      <c r="ECF13" s="68">
        <f t="shared" si="1089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90"/>
        <v>839</v>
      </c>
      <c r="ECN13" s="68">
        <f t="shared" si="1091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2"/>
        <v>1357</v>
      </c>
      <c r="ECV13" s="68">
        <f t="shared" si="1093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4"/>
        <v>1672</v>
      </c>
      <c r="EDD13" s="68">
        <f t="shared" si="1095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6"/>
        <v>255</v>
      </c>
      <c r="EDL13" s="68">
        <f t="shared" si="1097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8"/>
        <v>2084</v>
      </c>
      <c r="EDT13" s="68">
        <f t="shared" si="1099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100"/>
        <v>584</v>
      </c>
      <c r="EEB13" s="68">
        <f t="shared" si="1101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2"/>
        <v>1317</v>
      </c>
      <c r="EEJ13" s="68">
        <f t="shared" si="1103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4"/>
        <v>170</v>
      </c>
      <c r="EER13" s="68">
        <f t="shared" si="1105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6"/>
        <v>98</v>
      </c>
      <c r="EEZ13" s="68">
        <f t="shared" si="1107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8"/>
        <v>0</v>
      </c>
      <c r="EFH13" s="68">
        <f t="shared" si="1109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10"/>
        <v>820</v>
      </c>
      <c r="EFP13" s="68">
        <f t="shared" si="1111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2"/>
        <v>817</v>
      </c>
      <c r="EFX13" s="68">
        <f t="shared" si="1113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4"/>
        <v>2654</v>
      </c>
      <c r="EGF13" s="68">
        <f t="shared" si="1115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6"/>
        <v>1277</v>
      </c>
      <c r="EGN13" s="68">
        <f t="shared" si="1117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8"/>
        <v>0</v>
      </c>
      <c r="EGV13" s="68">
        <f t="shared" si="1119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20"/>
        <v>115</v>
      </c>
      <c r="EHD13" s="68">
        <f t="shared" si="1121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2"/>
        <v>675</v>
      </c>
      <c r="EHL13" s="68">
        <f t="shared" si="1123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4"/>
        <v>1693</v>
      </c>
      <c r="EHT13" s="68">
        <f t="shared" si="1125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6"/>
        <v>1813</v>
      </c>
      <c r="EIB13" s="68">
        <f t="shared" si="1127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8"/>
        <v>1252</v>
      </c>
      <c r="EIJ13" s="68">
        <f t="shared" si="1129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30"/>
        <v>1299</v>
      </c>
      <c r="EIR13" s="68">
        <f t="shared" si="1131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2"/>
        <v>830</v>
      </c>
      <c r="EIZ13" s="68">
        <f t="shared" si="1133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4"/>
        <v>1656</v>
      </c>
      <c r="EJH13" s="68">
        <f t="shared" si="1135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6"/>
        <v>1588</v>
      </c>
      <c r="EJP13" s="68">
        <f t="shared" si="1137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8"/>
        <v>664</v>
      </c>
      <c r="EJX13" s="68">
        <f t="shared" si="1139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40"/>
        <v>1176</v>
      </c>
      <c r="EKF13" s="68">
        <f t="shared" si="1141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2"/>
        <v>742</v>
      </c>
      <c r="EKN13" s="68">
        <f t="shared" si="1143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4"/>
        <v>239</v>
      </c>
      <c r="EKV13" s="68">
        <f t="shared" si="1145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6"/>
        <v>298</v>
      </c>
      <c r="ELD13" s="68">
        <f t="shared" si="1147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8"/>
        <v>1536</v>
      </c>
      <c r="ELL13" s="184">
        <f t="shared" si="1149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50"/>
        <v>1381</v>
      </c>
      <c r="ELU13" s="211">
        <f t="shared" si="1151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2"/>
        <v>216</v>
      </c>
      <c r="EMC13" s="211">
        <f t="shared" si="1153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4"/>
        <v>2465</v>
      </c>
      <c r="EMK13" s="211">
        <f t="shared" si="1155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6"/>
        <v>1810</v>
      </c>
      <c r="EMS13" s="211">
        <f t="shared" si="1157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8"/>
        <v>0</v>
      </c>
      <c r="ENA13" s="211">
        <f t="shared" si="1159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60"/>
        <v>1229</v>
      </c>
      <c r="ENI13" s="211">
        <f t="shared" si="1161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2"/>
        <v>362</v>
      </c>
      <c r="ENQ13" s="211">
        <f t="shared" si="1163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4"/>
        <v>920</v>
      </c>
      <c r="ENY13" s="211">
        <f t="shared" si="1165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6"/>
        <v>2297</v>
      </c>
      <c r="EOG13" s="211">
        <f t="shared" si="1167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8"/>
        <v>790</v>
      </c>
      <c r="EOO13" s="211">
        <f t="shared" si="1169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70"/>
        <v>1657</v>
      </c>
      <c r="EOW13" s="211">
        <f t="shared" si="1171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2"/>
        <v>1654</v>
      </c>
      <c r="EPE13" s="211">
        <f t="shared" si="1173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4"/>
        <v>791</v>
      </c>
      <c r="EPM13" s="211">
        <f t="shared" si="1175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6"/>
        <v>1026</v>
      </c>
      <c r="EPU13" s="211">
        <f t="shared" si="1177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8"/>
        <v>1459</v>
      </c>
      <c r="EQC13" s="211">
        <f t="shared" si="1179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80"/>
        <v>326</v>
      </c>
      <c r="EQK13" s="211">
        <f t="shared" si="1181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2"/>
        <v>77</v>
      </c>
      <c r="EQS13" s="211">
        <f t="shared" si="1183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4"/>
        <v>1574</v>
      </c>
      <c r="ERA13" s="211">
        <f t="shared" si="1185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6"/>
        <v>1371</v>
      </c>
      <c r="ERI13" s="211">
        <f t="shared" si="1187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8"/>
        <v>1620</v>
      </c>
      <c r="ERQ13" s="211">
        <f t="shared" si="1189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90"/>
        <v>1634</v>
      </c>
      <c r="ERY13" s="211">
        <f t="shared" si="1191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2"/>
        <v>833</v>
      </c>
      <c r="ESG13" s="211">
        <f t="shared" si="1193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4"/>
        <v>1998</v>
      </c>
      <c r="ESO13" s="211">
        <f t="shared" si="1195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6"/>
        <v>1650</v>
      </c>
      <c r="ESW13" s="211">
        <f t="shared" si="1197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8"/>
        <v>1693</v>
      </c>
      <c r="ETE13" s="736">
        <f t="shared" si="1199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200"/>
        <v>1109</v>
      </c>
      <c r="ETM13" s="211">
        <f t="shared" si="1201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2"/>
        <v>1015</v>
      </c>
      <c r="ETU13" s="211">
        <f t="shared" si="1203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4"/>
        <v>1046</v>
      </c>
      <c r="EUC13" s="211">
        <f t="shared" si="1205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6"/>
        <v>36</v>
      </c>
      <c r="EUK13" s="211">
        <f t="shared" si="1207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8"/>
        <v>2122</v>
      </c>
      <c r="EUS13" s="211">
        <f t="shared" si="1209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10"/>
        <v>0</v>
      </c>
      <c r="EVA13" s="211">
        <f t="shared" si="1211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2"/>
        <v>0</v>
      </c>
      <c r="EVI13" s="211">
        <f t="shared" si="1213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4"/>
        <v>0</v>
      </c>
      <c r="EVQ13" s="211">
        <f t="shared" si="1215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6"/>
        <v>1641</v>
      </c>
      <c r="EVY13" s="211">
        <f t="shared" si="1217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8"/>
        <v>1984</v>
      </c>
      <c r="EWG13" s="211">
        <f t="shared" si="1219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20"/>
        <v>1121</v>
      </c>
      <c r="EWO13" s="211">
        <f t="shared" si="1221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2"/>
        <v>2287</v>
      </c>
      <c r="EWW13" s="211">
        <f t="shared" si="1223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4"/>
        <v>1348</v>
      </c>
      <c r="EXE13" s="211">
        <f t="shared" si="1225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6"/>
        <v>0</v>
      </c>
      <c r="EXM13" s="211">
        <f t="shared" si="1227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8"/>
        <v>0</v>
      </c>
      <c r="EXU13" s="211">
        <f t="shared" si="1229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30"/>
        <v>0</v>
      </c>
      <c r="EYC13" s="211">
        <f t="shared" si="1231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2"/>
        <v>839</v>
      </c>
      <c r="EYK13" s="211">
        <f t="shared" si="1233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4"/>
        <v>270</v>
      </c>
      <c r="EYS13" s="211">
        <f t="shared" si="1235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6"/>
        <v>2226</v>
      </c>
      <c r="EZA13" s="211">
        <f t="shared" si="1237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8"/>
        <v>0</v>
      </c>
      <c r="EZI13" s="211">
        <f t="shared" si="1239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40"/>
        <v>1061</v>
      </c>
      <c r="EZQ13" s="873">
        <f t="shared" si="1241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2"/>
        <v>2957</v>
      </c>
      <c r="EZY13" s="873">
        <f t="shared" si="1243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4"/>
        <v>768</v>
      </c>
      <c r="FAG13" s="873">
        <f t="shared" si="1245"/>
        <v>128</v>
      </c>
      <c r="FAH13" s="195">
        <v>0</v>
      </c>
      <c r="FAI13" s="49">
        <v>0</v>
      </c>
      <c r="FAJ13" s="49">
        <v>0</v>
      </c>
      <c r="FAK13" s="49">
        <v>0</v>
      </c>
      <c r="FAL13" s="49">
        <v>1343</v>
      </c>
      <c r="FAM13" s="49">
        <v>0</v>
      </c>
      <c r="FAN13" s="872">
        <f t="shared" si="1246"/>
        <v>1343</v>
      </c>
      <c r="FAO13" s="873">
        <f t="shared" si="1247"/>
        <v>223.83333333333334</v>
      </c>
      <c r="FAP13" s="195">
        <v>0</v>
      </c>
      <c r="FAQ13" s="49">
        <v>0</v>
      </c>
      <c r="FAR13" s="49"/>
      <c r="FAS13" s="49"/>
      <c r="FAT13" s="49"/>
      <c r="FAU13" s="49"/>
      <c r="FAV13" s="872">
        <f t="shared" si="1248"/>
        <v>0</v>
      </c>
      <c r="FAW13" s="873">
        <f t="shared" si="1249"/>
        <v>0</v>
      </c>
    </row>
    <row r="14" spans="1:4105" s="8" customFormat="1" ht="15" customHeight="1" x14ac:dyDescent="0.2">
      <c r="A14" s="21">
        <v>8</v>
      </c>
      <c r="B14" s="21" t="s">
        <v>287</v>
      </c>
      <c r="C14" s="275" t="s">
        <v>288</v>
      </c>
      <c r="D14" s="21">
        <v>50</v>
      </c>
      <c r="E14" s="24">
        <v>0</v>
      </c>
      <c r="F14" s="24">
        <v>25499</v>
      </c>
      <c r="G14" s="24"/>
      <c r="H14" s="24"/>
      <c r="I14" s="24"/>
      <c r="J14" s="360">
        <f>SUMIF(SUMPK!$B:$B,$B:$B,SUMPK!$O:$O)</f>
        <v>4395</v>
      </c>
      <c r="K14" s="24"/>
      <c r="L14" s="24">
        <f t="shared" ref="L14" si="1253">F14+H14-J14</f>
        <v>21104</v>
      </c>
      <c r="M14" s="24">
        <f t="shared" ref="M14" si="1254">K14+L14</f>
        <v>21104</v>
      </c>
      <c r="N14" s="15">
        <v>1363.1666666666667</v>
      </c>
      <c r="O14" s="276">
        <f t="shared" si="0"/>
        <v>15.481599217508252</v>
      </c>
      <c r="P14" s="15">
        <v>1265.1666666666667</v>
      </c>
      <c r="Q14" s="276">
        <f t="shared" si="571"/>
        <v>100.08483730733762</v>
      </c>
      <c r="R14" s="277">
        <f t="shared" si="572"/>
        <v>2930.7692307692309</v>
      </c>
      <c r="S14" s="222">
        <v>76200</v>
      </c>
      <c r="T14" s="276">
        <f t="shared" si="573"/>
        <v>7.2008398950131225</v>
      </c>
      <c r="U14" s="278"/>
      <c r="V14" s="277">
        <f t="shared" si="1"/>
        <v>7.2008398950131225</v>
      </c>
      <c r="W14" s="320">
        <f t="shared" si="1252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5">SUM(EDU14:EDZ14)</f>
        <v>8612</v>
      </c>
      <c r="EEB14" s="68">
        <f t="shared" ref="EEB14" si="1256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2"/>
        <v>18533</v>
      </c>
      <c r="EEJ14" s="68">
        <f t="shared" si="1103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4"/>
        <v>25585</v>
      </c>
      <c r="EER14" s="68">
        <f t="shared" si="1105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6"/>
        <v>14838</v>
      </c>
      <c r="EEZ14" s="68">
        <f t="shared" si="1107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8"/>
        <v>21675</v>
      </c>
      <c r="EFH14" s="68">
        <f t="shared" si="1109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10"/>
        <v>20338</v>
      </c>
      <c r="EFP14" s="68">
        <f t="shared" si="1111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2"/>
        <v>17586</v>
      </c>
      <c r="EFX14" s="68">
        <f t="shared" si="1113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4"/>
        <v>10822</v>
      </c>
      <c r="EGF14" s="68">
        <f t="shared" si="1115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6"/>
        <v>13184</v>
      </c>
      <c r="EGN14" s="68">
        <f t="shared" si="1117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8"/>
        <v>15966</v>
      </c>
      <c r="EGV14" s="68">
        <f t="shared" si="1119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20"/>
        <v>9349</v>
      </c>
      <c r="EHD14" s="68">
        <f t="shared" si="1121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2"/>
        <v>15041</v>
      </c>
      <c r="EHL14" s="68">
        <f t="shared" si="1123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4"/>
        <v>19254</v>
      </c>
      <c r="EHT14" s="68">
        <f t="shared" si="1125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6"/>
        <v>13281</v>
      </c>
      <c r="EIB14" s="68">
        <f t="shared" si="1127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8"/>
        <v>11691</v>
      </c>
      <c r="EIJ14" s="68">
        <f t="shared" si="1129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30"/>
        <v>12707</v>
      </c>
      <c r="EIR14" s="68">
        <f t="shared" si="1131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2"/>
        <v>18821</v>
      </c>
      <c r="EIZ14" s="68">
        <f t="shared" si="1133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4"/>
        <v>14142</v>
      </c>
      <c r="EJH14" s="68">
        <f t="shared" si="1135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6"/>
        <v>19679</v>
      </c>
      <c r="EJP14" s="68">
        <f t="shared" si="1137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8"/>
        <v>13269</v>
      </c>
      <c r="EJX14" s="68">
        <f t="shared" si="1139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40"/>
        <v>20503</v>
      </c>
      <c r="EKF14" s="68">
        <f t="shared" si="1141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2"/>
        <v>12239</v>
      </c>
      <c r="EKN14" s="68">
        <f t="shared" si="1143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4"/>
        <v>11041</v>
      </c>
      <c r="EKV14" s="68">
        <f t="shared" si="1145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6"/>
        <v>10267</v>
      </c>
      <c r="ELD14" s="68">
        <f t="shared" si="1147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8"/>
        <v>16838</v>
      </c>
      <c r="ELL14" s="184">
        <f t="shared" si="1149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50"/>
        <v>14047</v>
      </c>
      <c r="ELU14" s="211">
        <f t="shared" si="1151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2"/>
        <v>13429</v>
      </c>
      <c r="EMC14" s="211">
        <f t="shared" si="1153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4"/>
        <v>11704</v>
      </c>
      <c r="EMK14" s="211">
        <f t="shared" si="1155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6"/>
        <v>13273</v>
      </c>
      <c r="EMS14" s="211">
        <f t="shared" si="1157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8"/>
        <v>19558</v>
      </c>
      <c r="ENA14" s="211">
        <f t="shared" si="1159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60"/>
        <v>17403</v>
      </c>
      <c r="ENI14" s="211">
        <f t="shared" si="1161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2"/>
        <v>17403</v>
      </c>
      <c r="ENQ14" s="211">
        <f t="shared" si="1163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4"/>
        <v>11691</v>
      </c>
      <c r="ENY14" s="211">
        <f t="shared" si="1165"/>
        <v>1948.5</v>
      </c>
      <c r="ENZ14" s="244">
        <f>SUMIF(SUMPK!$B:$B,$B:$B,SUMPK!$O:$O)</f>
        <v>4395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6"/>
        <v>19901</v>
      </c>
      <c r="EOG14" s="211">
        <f t="shared" si="1167"/>
        <v>3316.8333333333335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8"/>
        <v>13118</v>
      </c>
      <c r="EOO14" s="211">
        <f t="shared" si="1169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70"/>
        <v>2423</v>
      </c>
      <c r="EOW14" s="211">
        <f t="shared" si="1171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2"/>
        <v>19178</v>
      </c>
      <c r="EPE14" s="211">
        <f t="shared" si="1173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4"/>
        <v>13159</v>
      </c>
      <c r="EPM14" s="211">
        <f t="shared" si="1175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6"/>
        <v>18542</v>
      </c>
      <c r="EPU14" s="211">
        <f t="shared" si="1177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8"/>
        <v>11563</v>
      </c>
      <c r="EQC14" s="211">
        <f t="shared" si="1179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80"/>
        <v>18827</v>
      </c>
      <c r="EQK14" s="211">
        <f t="shared" si="1181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2"/>
        <v>12087</v>
      </c>
      <c r="EQS14" s="211">
        <f t="shared" si="1183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4"/>
        <v>12861</v>
      </c>
      <c r="ERA14" s="211">
        <f t="shared" si="1185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6"/>
        <v>11732</v>
      </c>
      <c r="ERI14" s="211">
        <f t="shared" si="1187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8"/>
        <v>11205</v>
      </c>
      <c r="ERQ14" s="211">
        <f t="shared" si="1189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90"/>
        <v>15352</v>
      </c>
      <c r="ERY14" s="211">
        <f t="shared" si="1191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2"/>
        <v>17499</v>
      </c>
      <c r="ESG14" s="211">
        <f t="shared" si="1193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4"/>
        <v>13729</v>
      </c>
      <c r="ESO14" s="211">
        <f t="shared" si="1195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6"/>
        <v>13024</v>
      </c>
      <c r="ESW14" s="211">
        <f t="shared" si="1197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8"/>
        <v>6215</v>
      </c>
      <c r="ETE14" s="736">
        <f t="shared" si="1199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200"/>
        <v>16374</v>
      </c>
      <c r="ETM14" s="211">
        <f t="shared" si="1201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2"/>
        <v>19906</v>
      </c>
      <c r="ETU14" s="211">
        <f t="shared" si="1203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4"/>
        <v>9203</v>
      </c>
      <c r="EUC14" s="211">
        <f t="shared" si="1205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6"/>
        <v>19448</v>
      </c>
      <c r="EUK14" s="211">
        <f t="shared" si="1207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8"/>
        <v>13616</v>
      </c>
      <c r="EUS14" s="211">
        <f t="shared" si="1209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10"/>
        <v>17124</v>
      </c>
      <c r="EVA14" s="211">
        <f t="shared" si="1211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2"/>
        <v>20696</v>
      </c>
      <c r="EVI14" s="211">
        <f t="shared" si="1213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4"/>
        <v>27688</v>
      </c>
      <c r="EVQ14" s="211">
        <f t="shared" si="1215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6"/>
        <v>13924</v>
      </c>
      <c r="EVY14" s="211">
        <f t="shared" si="1217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8"/>
        <v>15679</v>
      </c>
      <c r="EWG14" s="211">
        <f t="shared" si="1219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20"/>
        <v>16811</v>
      </c>
      <c r="EWO14" s="211">
        <f t="shared" si="1221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2"/>
        <v>7979</v>
      </c>
      <c r="EWW14" s="211">
        <f t="shared" si="1223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4"/>
        <v>15354</v>
      </c>
      <c r="EXE14" s="211">
        <f t="shared" si="1225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6"/>
        <v>22026</v>
      </c>
      <c r="EXM14" s="211">
        <f t="shared" si="1227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8"/>
        <v>17608</v>
      </c>
      <c r="EXU14" s="211">
        <f t="shared" si="1229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30"/>
        <v>19032</v>
      </c>
      <c r="EYC14" s="211">
        <f t="shared" si="1231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2"/>
        <v>18801</v>
      </c>
      <c r="EYK14" s="211">
        <f t="shared" si="1233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4"/>
        <v>13997</v>
      </c>
      <c r="EYS14" s="211">
        <f t="shared" si="1235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6"/>
        <v>19223</v>
      </c>
      <c r="EZA14" s="211">
        <f t="shared" si="1237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8"/>
        <v>20702</v>
      </c>
      <c r="EZI14" s="211">
        <f t="shared" si="1239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40"/>
        <v>19891</v>
      </c>
      <c r="EZQ14" s="873">
        <f t="shared" si="1241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2"/>
        <v>22712</v>
      </c>
      <c r="EZY14" s="873">
        <f t="shared" si="1243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4"/>
        <v>7591</v>
      </c>
      <c r="FAG14" s="873">
        <f t="shared" si="1245"/>
        <v>1265.1666666666667</v>
      </c>
      <c r="FAH14" s="195">
        <v>1526</v>
      </c>
      <c r="FAI14" s="49">
        <v>465</v>
      </c>
      <c r="FAJ14" s="49">
        <v>1060</v>
      </c>
      <c r="FAK14" s="49">
        <v>1653</v>
      </c>
      <c r="FAL14" s="49">
        <v>3357</v>
      </c>
      <c r="FAM14" s="49">
        <v>118</v>
      </c>
      <c r="FAN14" s="872">
        <f t="shared" si="1246"/>
        <v>8179</v>
      </c>
      <c r="FAO14" s="873">
        <f t="shared" si="1247"/>
        <v>1363.1666666666667</v>
      </c>
      <c r="FAP14" s="195">
        <v>0</v>
      </c>
      <c r="FAQ14" s="49">
        <v>3704</v>
      </c>
      <c r="FAR14" s="49"/>
      <c r="FAS14" s="49"/>
      <c r="FAT14" s="49"/>
      <c r="FAU14" s="49"/>
      <c r="FAV14" s="872">
        <f t="shared" si="1248"/>
        <v>3704</v>
      </c>
      <c r="FAW14" s="873">
        <f t="shared" si="1249"/>
        <v>617.33333333333337</v>
      </c>
    </row>
    <row r="15" spans="1:4105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14675</v>
      </c>
      <c r="G15" s="24"/>
      <c r="H15" s="24"/>
      <c r="I15" s="24"/>
      <c r="J15" s="360">
        <f>SUMIF(SUMPK!$B:$B,$B:$B,SUMPK!$O:$O)</f>
        <v>2321</v>
      </c>
      <c r="K15" s="24"/>
      <c r="L15" s="24">
        <f t="shared" si="569"/>
        <v>12354</v>
      </c>
      <c r="M15" s="24">
        <f t="shared" si="570"/>
        <v>12354</v>
      </c>
      <c r="N15" s="15">
        <v>1368.8333333333333</v>
      </c>
      <c r="O15" s="276">
        <f t="shared" si="0"/>
        <v>9.0252039449653001</v>
      </c>
      <c r="P15" s="15">
        <v>853.16666666666663</v>
      </c>
      <c r="Q15" s="276">
        <f t="shared" si="571"/>
        <v>86.881031451455357</v>
      </c>
      <c r="R15" s="277">
        <f t="shared" si="572"/>
        <v>1776.9230769230769</v>
      </c>
      <c r="S15" s="222">
        <v>46200</v>
      </c>
      <c r="T15" s="276">
        <f t="shared" si="573"/>
        <v>6.9524675324675327</v>
      </c>
      <c r="U15" s="278"/>
      <c r="V15" s="277">
        <f t="shared" si="1"/>
        <v>6.9524675324675327</v>
      </c>
      <c r="W15" s="320">
        <f t="shared" si="1252"/>
        <v>1</v>
      </c>
      <c r="X15" s="299"/>
      <c r="Y15" s="280" t="e">
        <f>#REF!+#REF!</f>
        <v>#REF!</v>
      </c>
      <c r="Z15" s="280" t="e">
        <f t="shared" ref="Z15:Z23" si="1257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4"/>
        <v>8229</v>
      </c>
      <c r="BAV15" s="43">
        <f t="shared" si="575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6"/>
        <v>7402</v>
      </c>
      <c r="BBD15" s="43">
        <f t="shared" si="577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8"/>
        <v>4004</v>
      </c>
      <c r="BBL15" s="43">
        <f t="shared" si="579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80"/>
        <v>2856</v>
      </c>
      <c r="BBT15" s="43">
        <f t="shared" si="581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2"/>
        <v>2697</v>
      </c>
      <c r="BCB15" s="43">
        <f t="shared" si="583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4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5"/>
        <v>6895</v>
      </c>
      <c r="BCR15" s="43">
        <f t="shared" si="586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7"/>
        <v>13524</v>
      </c>
      <c r="BCZ15" s="43">
        <f t="shared" si="588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9"/>
        <v>1577</v>
      </c>
      <c r="BDH15" s="43">
        <f t="shared" si="590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1"/>
        <v>6387</v>
      </c>
      <c r="BDP15" s="43">
        <f t="shared" si="592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3"/>
        <v>11969</v>
      </c>
      <c r="BDX15" s="43">
        <f t="shared" si="594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5"/>
        <v>14660</v>
      </c>
      <c r="BEF15" s="43">
        <f t="shared" si="596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7"/>
        <v>4462</v>
      </c>
      <c r="BEN15" s="43">
        <f t="shared" si="598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9"/>
        <v>8112</v>
      </c>
      <c r="BEV15" s="43">
        <f t="shared" si="600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1"/>
        <v>4250</v>
      </c>
      <c r="BFD15" s="43">
        <f t="shared" si="602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3"/>
        <v>8134</v>
      </c>
      <c r="BFL15" s="68">
        <f t="shared" si="604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5"/>
        <v>1576</v>
      </c>
      <c r="BFT15" s="68">
        <f t="shared" si="606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7"/>
        <v>8625</v>
      </c>
      <c r="BGB15" s="68">
        <f t="shared" si="608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9"/>
        <v>1495</v>
      </c>
      <c r="BGJ15" s="68">
        <f t="shared" si="610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1"/>
        <v>4626</v>
      </c>
      <c r="BGR15" s="68">
        <f t="shared" si="612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3"/>
        <v>6327</v>
      </c>
      <c r="BGZ15" s="68">
        <f t="shared" si="614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5"/>
        <v>7267</v>
      </c>
      <c r="BHH15" s="68">
        <f t="shared" si="616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7"/>
        <v>3346</v>
      </c>
      <c r="BHP15" s="184">
        <f t="shared" si="618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9"/>
        <v>4647</v>
      </c>
      <c r="BHX15" s="211">
        <f t="shared" si="620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1"/>
        <v>4816</v>
      </c>
      <c r="BIF15" s="184">
        <f t="shared" si="622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3"/>
        <v>10526</v>
      </c>
      <c r="BIN15" s="184">
        <f t="shared" si="624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5"/>
        <v>5624</v>
      </c>
      <c r="BIV15" s="211">
        <f t="shared" si="626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7"/>
        <v>8624</v>
      </c>
      <c r="BJD15" s="211">
        <f t="shared" si="628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9"/>
        <v>2335</v>
      </c>
      <c r="BJL15" s="211">
        <f t="shared" si="630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1"/>
        <v>9313</v>
      </c>
      <c r="BJT15" s="184">
        <f t="shared" si="632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3"/>
        <v>5792</v>
      </c>
      <c r="BKB15" s="184">
        <f t="shared" si="634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5"/>
        <v>5171</v>
      </c>
      <c r="BKJ15" s="184">
        <f t="shared" si="636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7"/>
        <v>8101</v>
      </c>
      <c r="BKR15" s="184">
        <f t="shared" si="638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9"/>
        <v>6167</v>
      </c>
      <c r="BKZ15" s="211">
        <f t="shared" si="640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1"/>
        <v>959</v>
      </c>
      <c r="BLH15" s="211">
        <f t="shared" si="642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3"/>
        <v>5571</v>
      </c>
      <c r="BLP15" s="184">
        <f t="shared" si="644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5"/>
        <v>17575</v>
      </c>
      <c r="BLX15" s="184">
        <f t="shared" si="646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7"/>
        <v>11639</v>
      </c>
      <c r="BMF15" s="68">
        <f t="shared" si="648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9"/>
        <v>2801</v>
      </c>
      <c r="BMN15" s="68">
        <f t="shared" si="650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1"/>
        <v>10537</v>
      </c>
      <c r="BMV15" s="68">
        <f t="shared" si="652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3"/>
        <v>6975</v>
      </c>
      <c r="BND15" s="68">
        <f t="shared" si="654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5"/>
        <v>907</v>
      </c>
      <c r="BNL15" s="68">
        <f t="shared" si="656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7"/>
        <v>11364</v>
      </c>
      <c r="BNT15" s="68">
        <f t="shared" si="658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9"/>
        <v>8214</v>
      </c>
      <c r="BOB15" s="184">
        <f t="shared" si="660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1"/>
        <v>7108</v>
      </c>
      <c r="BOJ15" s="184">
        <f t="shared" si="662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3"/>
        <v>4044</v>
      </c>
      <c r="BOR15" s="68">
        <f t="shared" si="664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5"/>
        <v>10735</v>
      </c>
      <c r="BOZ15" s="68">
        <f t="shared" si="666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7"/>
        <v>3970</v>
      </c>
      <c r="BPH15" s="68">
        <f t="shared" si="668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9"/>
        <v>7066</v>
      </c>
      <c r="BPP15" s="68">
        <f t="shared" si="670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1"/>
        <v>13068</v>
      </c>
      <c r="BPX15" s="68">
        <f t="shared" si="672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3"/>
        <v>11887</v>
      </c>
      <c r="BQF15" s="68">
        <f t="shared" si="674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5"/>
        <v>3625</v>
      </c>
      <c r="BQN15" s="68">
        <f t="shared" si="676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7"/>
        <v>0</v>
      </c>
      <c r="BQV15" s="68">
        <f t="shared" si="678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9"/>
        <v>12139</v>
      </c>
      <c r="BRD15" s="68">
        <f t="shared" si="680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1"/>
        <v>4772</v>
      </c>
      <c r="BRL15" s="68">
        <f t="shared" si="682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3"/>
        <v>6442</v>
      </c>
      <c r="BRT15" s="68">
        <f t="shared" si="684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5"/>
        <v>9486</v>
      </c>
      <c r="BSB15" s="68">
        <f t="shared" si="686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7"/>
        <v>9413</v>
      </c>
      <c r="BSJ15" s="68">
        <f t="shared" si="688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9"/>
        <v>1679</v>
      </c>
      <c r="BSR15" s="68">
        <f t="shared" si="690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1"/>
        <v>8910</v>
      </c>
      <c r="BSZ15" s="68">
        <f t="shared" si="692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3"/>
        <v>8282</v>
      </c>
      <c r="BTH15" s="68">
        <f t="shared" si="694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5"/>
        <v>4136</v>
      </c>
      <c r="BTP15" s="68">
        <f t="shared" si="696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7"/>
        <v>2474</v>
      </c>
      <c r="BTX15" s="184">
        <f t="shared" si="698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9"/>
        <v>10687</v>
      </c>
      <c r="BUF15" s="184">
        <f t="shared" si="700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1"/>
        <v>8604</v>
      </c>
      <c r="BUN15" s="211">
        <f t="shared" si="702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3"/>
        <v>5668</v>
      </c>
      <c r="BUV15" s="211">
        <f t="shared" si="704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5"/>
        <v>4972</v>
      </c>
      <c r="BVD15" s="211">
        <f t="shared" si="706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7"/>
        <v>6319</v>
      </c>
      <c r="BVL15" s="184">
        <f t="shared" si="708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9"/>
        <v>8402</v>
      </c>
      <c r="BVT15" s="211">
        <f t="shared" si="710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1"/>
        <v>5497</v>
      </c>
      <c r="BWB15" s="184">
        <f t="shared" si="712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3"/>
        <v>8741</v>
      </c>
      <c r="BWJ15" s="184">
        <f t="shared" si="714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5"/>
        <v>5586</v>
      </c>
      <c r="BWR15" s="211">
        <f t="shared" si="716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7"/>
        <v>8068</v>
      </c>
      <c r="BWZ15" s="211">
        <f t="shared" si="718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9"/>
        <v>8913</v>
      </c>
      <c r="BXH15" s="211">
        <f t="shared" si="720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1"/>
        <v>9485</v>
      </c>
      <c r="BXP15" s="184">
        <f t="shared" si="722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3"/>
        <v>9737</v>
      </c>
      <c r="BXX15" s="184">
        <f t="shared" si="724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5"/>
        <v>6816</v>
      </c>
      <c r="BYF15" s="211">
        <f t="shared" si="726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7"/>
        <v>6865</v>
      </c>
      <c r="BYN15" s="184">
        <f t="shared" si="728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9"/>
        <v>7017</v>
      </c>
      <c r="BYV15" s="211">
        <f t="shared" si="730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1"/>
        <v>1872</v>
      </c>
      <c r="BZD15" s="184">
        <f t="shared" si="732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3"/>
        <v>8357</v>
      </c>
      <c r="BZL15" s="184">
        <f t="shared" si="734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5"/>
        <v>8878</v>
      </c>
      <c r="BZT15" s="68">
        <f t="shared" si="736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7"/>
        <v>6377</v>
      </c>
      <c r="CAB15" s="68">
        <f t="shared" si="738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9"/>
        <v>6442</v>
      </c>
      <c r="CAJ15" s="68">
        <f t="shared" si="740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1"/>
        <v>7676</v>
      </c>
      <c r="CAR15" s="184">
        <f t="shared" si="742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3"/>
        <v>775</v>
      </c>
      <c r="CAZ15" s="211">
        <f t="shared" si="744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5"/>
        <v>4764</v>
      </c>
      <c r="CBH15" s="211">
        <f t="shared" si="746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7"/>
        <v>7913</v>
      </c>
      <c r="CBP15" s="184">
        <f t="shared" si="748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9"/>
        <v>7664</v>
      </c>
      <c r="CBX15" s="68">
        <f t="shared" si="750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1"/>
        <v>10724</v>
      </c>
      <c r="CCF15" s="68">
        <f t="shared" si="752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3"/>
        <v>4890</v>
      </c>
      <c r="CCN15" s="68">
        <f t="shared" si="754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5"/>
        <v>6970</v>
      </c>
      <c r="CCV15" s="68">
        <f t="shared" si="756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7"/>
        <v>7736</v>
      </c>
      <c r="CDD15" s="68">
        <f t="shared" si="758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9"/>
        <v>5938</v>
      </c>
      <c r="CDL15" s="68">
        <f t="shared" si="760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1"/>
        <v>7599</v>
      </c>
      <c r="CDT15" s="68">
        <f t="shared" si="762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3"/>
        <v>5525</v>
      </c>
      <c r="CEB15" s="68">
        <f t="shared" si="764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5"/>
        <v>13797</v>
      </c>
      <c r="CEJ15" s="68">
        <f t="shared" si="766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7"/>
        <v>6747</v>
      </c>
      <c r="CER15" s="68">
        <f t="shared" si="768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9"/>
        <v>3620</v>
      </c>
      <c r="CEZ15" s="68">
        <f t="shared" si="770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1"/>
        <v>10371</v>
      </c>
      <c r="CFH15" s="68">
        <f t="shared" si="772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3"/>
        <v>7901</v>
      </c>
      <c r="CFP15" s="68">
        <f t="shared" si="774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5"/>
        <v>9241</v>
      </c>
      <c r="CFX15" s="68">
        <f t="shared" si="776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7"/>
        <v>9313</v>
      </c>
      <c r="CGF15" s="68">
        <f t="shared" si="778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9"/>
        <v>12845</v>
      </c>
      <c r="CGN15" s="68">
        <f t="shared" si="780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1"/>
        <v>11370</v>
      </c>
      <c r="CGV15" s="68">
        <f t="shared" si="782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3"/>
        <v>10149</v>
      </c>
      <c r="CHD15" s="68">
        <f t="shared" si="784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5"/>
        <v>7747</v>
      </c>
      <c r="CHL15" s="68">
        <f t="shared" si="786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7"/>
        <v>11658</v>
      </c>
      <c r="CHT15" s="68">
        <f t="shared" si="788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9"/>
        <v>10506</v>
      </c>
      <c r="CIB15" s="68">
        <f t="shared" si="790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1"/>
        <v>13238</v>
      </c>
      <c r="CIJ15" s="68">
        <f t="shared" si="792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3"/>
        <v>18129</v>
      </c>
      <c r="CIR15" s="68">
        <f t="shared" si="794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5"/>
        <v>6078</v>
      </c>
      <c r="CIZ15" s="68">
        <f t="shared" si="796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7"/>
        <v>388</v>
      </c>
      <c r="CJH15" s="68">
        <f t="shared" si="798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9"/>
        <v>2574</v>
      </c>
      <c r="CJP15" s="68">
        <f t="shared" si="800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1"/>
        <v>5323</v>
      </c>
      <c r="CJX15" s="68">
        <f t="shared" si="802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3"/>
        <v>11985</v>
      </c>
      <c r="CKF15" s="68">
        <f t="shared" si="804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5"/>
        <v>8737</v>
      </c>
      <c r="CKN15" s="68">
        <f t="shared" si="806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7"/>
        <v>7713</v>
      </c>
      <c r="CKV15" s="68">
        <f t="shared" si="808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9"/>
        <v>8285</v>
      </c>
      <c r="CLD15" s="68">
        <f t="shared" si="810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1"/>
        <v>5054</v>
      </c>
      <c r="CLL15" s="68">
        <f t="shared" si="812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3"/>
        <v>6695</v>
      </c>
      <c r="CLT15" s="184">
        <f t="shared" si="814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5"/>
        <v>7491</v>
      </c>
      <c r="CMB15" s="68">
        <f t="shared" si="816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7"/>
        <v>5883</v>
      </c>
      <c r="CMJ15" s="68">
        <f t="shared" si="818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9"/>
        <v>7961</v>
      </c>
      <c r="CMR15" s="68">
        <f t="shared" si="820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1"/>
        <v>8197</v>
      </c>
      <c r="CMZ15" s="68">
        <f t="shared" si="822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3"/>
        <v>5797</v>
      </c>
      <c r="CNH15" s="68">
        <f t="shared" si="824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5"/>
        <v>11013</v>
      </c>
      <c r="CNP15" s="68">
        <f t="shared" si="826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7"/>
        <v>11604</v>
      </c>
      <c r="CNX15" s="68">
        <f t="shared" si="828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9"/>
        <v>8893</v>
      </c>
      <c r="COF15" s="68">
        <f t="shared" si="830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1"/>
        <v>11016</v>
      </c>
      <c r="CON15" s="68">
        <f t="shared" si="832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3"/>
        <v>7336</v>
      </c>
      <c r="COV15" s="68">
        <f t="shared" si="834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5"/>
        <v>3621</v>
      </c>
      <c r="CPD15" s="68">
        <f t="shared" si="836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7"/>
        <v>9937</v>
      </c>
      <c r="CPL15" s="68">
        <f t="shared" si="838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9"/>
        <v>10340</v>
      </c>
      <c r="CPT15" s="68">
        <f t="shared" si="840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1"/>
        <v>11133</v>
      </c>
      <c r="CQB15" s="68">
        <f t="shared" si="842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3"/>
        <v>9743</v>
      </c>
      <c r="CQJ15" s="68">
        <f t="shared" si="844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5"/>
        <v>3869</v>
      </c>
      <c r="CQR15" s="68">
        <f t="shared" si="846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2321</v>
      </c>
      <c r="CQX15" s="49">
        <v>225</v>
      </c>
      <c r="CQY15" s="67">
        <f t="shared" si="847"/>
        <v>12539</v>
      </c>
      <c r="CQZ15" s="68">
        <f t="shared" si="848"/>
        <v>2089.8333333333335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9"/>
        <v>10835</v>
      </c>
      <c r="CRH15" s="68">
        <f t="shared" si="850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1"/>
        <v>7609</v>
      </c>
      <c r="CRP15" s="68">
        <f t="shared" si="852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3"/>
        <v>10784</v>
      </c>
      <c r="CRX15" s="68">
        <f t="shared" si="854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50"/>
        <v>4698</v>
      </c>
      <c r="CSF15" s="68">
        <f t="shared" si="1251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7"/>
        <v>9300</v>
      </c>
      <c r="CSN15" s="68">
        <f t="shared" si="858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9"/>
        <v>9966</v>
      </c>
      <c r="CSV15" s="68">
        <f t="shared" si="860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1"/>
        <v>13783</v>
      </c>
      <c r="CTD15" s="68">
        <f t="shared" si="862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3"/>
        <v>10366</v>
      </c>
      <c r="CTL15" s="68">
        <f t="shared" si="864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5"/>
        <v>2751</v>
      </c>
      <c r="CTT15" s="68">
        <f t="shared" si="866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7"/>
        <v>12481</v>
      </c>
      <c r="CUB15" s="68">
        <f t="shared" si="868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9"/>
        <v>3061</v>
      </c>
      <c r="CUJ15" s="68">
        <f t="shared" si="870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1"/>
        <v>6812</v>
      </c>
      <c r="CUR15" s="68">
        <f t="shared" si="872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3"/>
        <v>8229</v>
      </c>
      <c r="CUZ15" s="68">
        <f t="shared" si="874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5"/>
        <v>17343</v>
      </c>
      <c r="CVH15" s="68">
        <f t="shared" si="876"/>
        <v>2890.5</v>
      </c>
      <c r="CVI15" s="48">
        <v>1308</v>
      </c>
      <c r="CVJ15" s="49">
        <f>SUMIF(SUMPK!$B:$B,$B:$B,SUMPK!$O:$O)</f>
        <v>2321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7"/>
        <v>4879</v>
      </c>
      <c r="CVP15" s="68">
        <f t="shared" si="878"/>
        <v>813.16666666666663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9"/>
        <v>6909</v>
      </c>
      <c r="CVX15" s="68">
        <f t="shared" si="880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1"/>
        <v>2993</v>
      </c>
      <c r="CWF15" s="68">
        <f t="shared" si="882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3"/>
        <v>8594</v>
      </c>
      <c r="CWN15" s="68">
        <f t="shared" si="884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5"/>
        <v>9992</v>
      </c>
      <c r="CWV15" s="43">
        <f t="shared" si="886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7"/>
        <v>10897</v>
      </c>
      <c r="CXD15" s="43">
        <f t="shared" si="888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9"/>
        <v>10530</v>
      </c>
      <c r="CXL15" s="43">
        <f t="shared" si="890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1"/>
        <v>10127</v>
      </c>
      <c r="CXT15" s="43">
        <f t="shared" si="892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3"/>
        <v>16433</v>
      </c>
      <c r="CYB15" s="43">
        <f t="shared" si="894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5"/>
        <v>9455</v>
      </c>
      <c r="CYJ15" s="43">
        <f t="shared" si="896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7"/>
        <v>14248</v>
      </c>
      <c r="CYR15" s="43">
        <f t="shared" si="898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9"/>
        <v>14618</v>
      </c>
      <c r="CYZ15" s="43">
        <f t="shared" si="900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1"/>
        <v>4140</v>
      </c>
      <c r="CZH15" s="43">
        <f t="shared" si="902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3"/>
        <v>8723</v>
      </c>
      <c r="CZP15" s="43">
        <f t="shared" si="904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5"/>
        <v>8374</v>
      </c>
      <c r="CZX15" s="43">
        <f t="shared" si="906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7"/>
        <v>16077</v>
      </c>
      <c r="DAF15" s="43">
        <f t="shared" si="908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9"/>
        <v>12464</v>
      </c>
      <c r="DAN15" s="43">
        <f t="shared" si="910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1"/>
        <v>5369</v>
      </c>
      <c r="DAV15" s="68">
        <f t="shared" si="912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3"/>
        <v>10617</v>
      </c>
      <c r="DBD15" s="68">
        <f t="shared" si="914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5"/>
        <v>8073</v>
      </c>
      <c r="DBL15" s="68">
        <f t="shared" si="916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7"/>
        <v>9283</v>
      </c>
      <c r="DBT15" s="68">
        <f t="shared" si="918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9"/>
        <v>6529</v>
      </c>
      <c r="DCB15" s="184">
        <f t="shared" si="920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1"/>
        <v>6085</v>
      </c>
      <c r="DCJ15" s="211">
        <f t="shared" si="922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3"/>
        <v>12785</v>
      </c>
      <c r="DCR15" s="211">
        <f t="shared" si="924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5"/>
        <v>8728</v>
      </c>
      <c r="DCZ15" s="184">
        <f t="shared" si="926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7"/>
        <v>14232</v>
      </c>
      <c r="DDH15" s="211">
        <f t="shared" si="928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9"/>
        <v>7102</v>
      </c>
      <c r="DDP15" s="184">
        <f t="shared" si="930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1"/>
        <v>2230</v>
      </c>
      <c r="DDX15" s="211">
        <f t="shared" si="932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3"/>
        <v>7883</v>
      </c>
      <c r="DEF15" s="214">
        <f t="shared" si="934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5"/>
        <v>6291</v>
      </c>
      <c r="DEN15" s="101">
        <f t="shared" si="936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7"/>
        <v>11885</v>
      </c>
      <c r="DEV15" s="101">
        <f t="shared" si="938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9"/>
        <v>8771</v>
      </c>
      <c r="DFD15" s="43">
        <f t="shared" si="940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1"/>
        <v>4340</v>
      </c>
      <c r="DFL15" s="43">
        <f t="shared" si="942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3"/>
        <v>5868</v>
      </c>
      <c r="DFT15" s="43">
        <f t="shared" si="944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5"/>
        <v>14699</v>
      </c>
      <c r="DGB15" s="43">
        <f t="shared" si="946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7"/>
        <v>2131</v>
      </c>
      <c r="DGJ15" s="68">
        <f t="shared" si="948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9"/>
        <v>12565</v>
      </c>
      <c r="DGR15" s="68">
        <f t="shared" si="950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1"/>
        <v>12523</v>
      </c>
      <c r="DGZ15" s="68">
        <f t="shared" si="952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3"/>
        <v>3220</v>
      </c>
      <c r="DHH15" s="68">
        <f t="shared" si="954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5"/>
        <v>11298</v>
      </c>
      <c r="DHP15" s="68">
        <f t="shared" si="956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7"/>
        <v>8451</v>
      </c>
      <c r="DHX15" s="68">
        <f t="shared" si="958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9"/>
        <v>6401</v>
      </c>
      <c r="DIF15" s="68">
        <f t="shared" si="960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1"/>
        <v>9121</v>
      </c>
      <c r="DIN15" s="68">
        <f t="shared" si="962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3"/>
        <v>8593</v>
      </c>
      <c r="DIV15" s="68">
        <f t="shared" si="964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5"/>
        <v>4250</v>
      </c>
      <c r="DJD15" s="68">
        <f t="shared" si="966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7"/>
        <v>15958</v>
      </c>
      <c r="DJL15" s="68">
        <f t="shared" si="968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9"/>
        <v>5386</v>
      </c>
      <c r="DJT15" s="68">
        <f t="shared" si="970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1"/>
        <v>12181</v>
      </c>
      <c r="DKB15" s="68">
        <f t="shared" si="972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3"/>
        <v>12721</v>
      </c>
      <c r="DKJ15" s="68">
        <f t="shared" si="974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5"/>
        <v>8190</v>
      </c>
      <c r="DKR15" s="68">
        <f t="shared" si="976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7"/>
        <v>13061</v>
      </c>
      <c r="DKZ15" s="68">
        <f t="shared" si="978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9"/>
        <v>7074</v>
      </c>
      <c r="DLH15" s="68">
        <f t="shared" si="980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1"/>
        <v>8482</v>
      </c>
      <c r="DLP15" s="68">
        <f t="shared" si="982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3"/>
        <v>14204</v>
      </c>
      <c r="DLX15" s="68">
        <f t="shared" si="984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5"/>
        <v>17840</v>
      </c>
      <c r="DMF15" s="68">
        <f t="shared" si="986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7"/>
        <v>13362</v>
      </c>
      <c r="DMN15" s="68">
        <f t="shared" si="988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9"/>
        <v>6069</v>
      </c>
      <c r="DMV15" s="68">
        <f t="shared" si="990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1"/>
        <v>4767</v>
      </c>
      <c r="DND15" s="68">
        <f t="shared" si="992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3"/>
        <v>10684</v>
      </c>
      <c r="DNL15" s="68">
        <f t="shared" si="994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5"/>
        <v>8094</v>
      </c>
      <c r="DNT15" s="68">
        <f t="shared" si="996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7"/>
        <v>11858</v>
      </c>
      <c r="DOB15" s="68">
        <f t="shared" si="998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9"/>
        <v>7993</v>
      </c>
      <c r="DOJ15" s="68">
        <f t="shared" si="1000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1"/>
        <v>6158</v>
      </c>
      <c r="DOR15" s="68">
        <f t="shared" si="1002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3"/>
        <v>12610</v>
      </c>
      <c r="DOZ15" s="68">
        <f t="shared" si="1004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5"/>
        <v>10137</v>
      </c>
      <c r="DPH15" s="68">
        <f t="shared" si="1006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7"/>
        <v>10359</v>
      </c>
      <c r="DPP15" s="68">
        <f t="shared" si="1008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9"/>
        <v>8218</v>
      </c>
      <c r="DPX15" s="68">
        <f t="shared" si="1010"/>
        <v>1369.6666666666667</v>
      </c>
      <c r="DPY15" s="63">
        <v>4806</v>
      </c>
      <c r="DPZ15" s="64">
        <v>2747</v>
      </c>
      <c r="DQA15" s="64">
        <f>SUMIF(SUMPK!$B:$B,$B:$B,SUMPK!$O:$O)</f>
        <v>2321</v>
      </c>
      <c r="DQB15" s="64">
        <v>6003</v>
      </c>
      <c r="DQC15" s="64">
        <v>0</v>
      </c>
      <c r="DQD15" s="64">
        <v>0</v>
      </c>
      <c r="DQE15" s="64">
        <f t="shared" si="1011"/>
        <v>15877</v>
      </c>
      <c r="DQF15" s="68">
        <f t="shared" si="1012"/>
        <v>2646.1666666666665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3"/>
        <v>11986</v>
      </c>
      <c r="DQN15" s="68">
        <f t="shared" si="1014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5"/>
        <v>11425</v>
      </c>
      <c r="DQV15" s="68">
        <f t="shared" si="1016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7"/>
        <v>9927</v>
      </c>
      <c r="DRD15" s="68">
        <f t="shared" si="1018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9"/>
        <v>7208</v>
      </c>
      <c r="DRL15" s="68">
        <f t="shared" si="1020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1"/>
        <v>8137</v>
      </c>
      <c r="DRT15" s="68">
        <f t="shared" si="1022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3"/>
        <v>8948</v>
      </c>
      <c r="DSB15" s="68">
        <f t="shared" si="1024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5"/>
        <v>6274</v>
      </c>
      <c r="DSJ15" s="68">
        <f t="shared" si="1026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7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8"/>
        <v>10331</v>
      </c>
      <c r="DSZ15" s="68">
        <f t="shared" si="1029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30"/>
        <v>7300</v>
      </c>
      <c r="DTH15" s="68">
        <f t="shared" si="1031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2"/>
        <v>6176</v>
      </c>
      <c r="DTP15" s="68">
        <f t="shared" si="1033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4"/>
        <v>2908</v>
      </c>
      <c r="DTX15" s="68">
        <f t="shared" si="1035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6"/>
        <v>9768</v>
      </c>
      <c r="DUF15" s="68">
        <f t="shared" si="1037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8"/>
        <v>6222</v>
      </c>
      <c r="DUN15" s="68">
        <f t="shared" si="1039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40"/>
        <v>11562</v>
      </c>
      <c r="DUV15" s="68">
        <f t="shared" si="1041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2"/>
        <v>16657</v>
      </c>
      <c r="DVD15" s="68">
        <f t="shared" si="1043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4"/>
        <v>5</v>
      </c>
      <c r="DVL15" s="68">
        <f t="shared" si="1045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6"/>
        <v>10942</v>
      </c>
      <c r="DVT15" s="68">
        <f t="shared" si="1047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8"/>
        <v>9272</v>
      </c>
      <c r="DWB15" s="68">
        <f t="shared" si="1049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50"/>
        <v>10443</v>
      </c>
      <c r="DWJ15" s="68">
        <f t="shared" si="1051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2"/>
        <v>9848</v>
      </c>
      <c r="DWR15" s="68">
        <f t="shared" si="1053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4"/>
        <v>9227</v>
      </c>
      <c r="DWZ15" s="68">
        <f t="shared" si="1055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6"/>
        <v>11264</v>
      </c>
      <c r="DXH15" s="68">
        <f t="shared" si="1057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8"/>
        <v>15352</v>
      </c>
      <c r="DXP15" s="68">
        <f t="shared" si="1059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60"/>
        <v>13720</v>
      </c>
      <c r="DXX15" s="68">
        <f t="shared" si="1061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2"/>
        <v>10949</v>
      </c>
      <c r="DYF15" s="68">
        <f t="shared" si="1063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4"/>
        <v>6450</v>
      </c>
      <c r="DYN15" s="68">
        <f t="shared" si="1065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6"/>
        <v>14066</v>
      </c>
      <c r="DYV15" s="68">
        <f t="shared" si="1067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8"/>
        <v>8596</v>
      </c>
      <c r="DZD15" s="68">
        <f t="shared" si="1069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70"/>
        <v>9073</v>
      </c>
      <c r="DZL15" s="68">
        <f t="shared" si="1071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2"/>
        <v>11393</v>
      </c>
      <c r="DZT15" s="68">
        <f t="shared" si="1073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4"/>
        <v>7770</v>
      </c>
      <c r="EAB15" s="68">
        <f t="shared" si="1075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6"/>
        <v>7805</v>
      </c>
      <c r="EAJ15" s="68">
        <f t="shared" si="1077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8"/>
        <v>9323</v>
      </c>
      <c r="EAR15" s="68">
        <f t="shared" si="1079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80"/>
        <v>6285</v>
      </c>
      <c r="EAZ15" s="68">
        <f t="shared" si="1081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2"/>
        <v>10580</v>
      </c>
      <c r="EBH15" s="68">
        <f t="shared" si="1083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4"/>
        <v>5111</v>
      </c>
      <c r="EBP15" s="68">
        <f t="shared" si="1085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6"/>
        <v>10152</v>
      </c>
      <c r="EBX15" s="68">
        <f t="shared" si="1087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8"/>
        <v>1968</v>
      </c>
      <c r="ECF15" s="68">
        <f t="shared" si="1089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90"/>
        <v>2870</v>
      </c>
      <c r="ECN15" s="68">
        <f t="shared" si="1091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2"/>
        <v>5210</v>
      </c>
      <c r="ECV15" s="68">
        <f t="shared" si="1093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4"/>
        <v>6143</v>
      </c>
      <c r="EDD15" s="68">
        <f t="shared" si="1095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6"/>
        <v>9139</v>
      </c>
      <c r="EDL15" s="68">
        <f t="shared" si="1097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8"/>
        <v>10957</v>
      </c>
      <c r="EDT15" s="68">
        <f t="shared" si="1099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100"/>
        <v>10381</v>
      </c>
      <c r="EEB15" s="68">
        <f t="shared" si="1101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2"/>
        <v>12989</v>
      </c>
      <c r="EEJ15" s="68">
        <f t="shared" si="1103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4"/>
        <v>17763</v>
      </c>
      <c r="EER15" s="68">
        <f t="shared" si="1105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6"/>
        <v>5786</v>
      </c>
      <c r="EEZ15" s="68">
        <f t="shared" si="1107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8"/>
        <v>11813</v>
      </c>
      <c r="EFH15" s="68">
        <f t="shared" si="1109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10"/>
        <v>8325</v>
      </c>
      <c r="EFP15" s="68">
        <f t="shared" si="1111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2"/>
        <v>18200</v>
      </c>
      <c r="EFX15" s="68">
        <f t="shared" si="1113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4"/>
        <v>5480</v>
      </c>
      <c r="EGF15" s="68">
        <f t="shared" si="1115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6"/>
        <v>7500</v>
      </c>
      <c r="EGN15" s="68">
        <f t="shared" si="1117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8"/>
        <v>5485</v>
      </c>
      <c r="EGV15" s="68">
        <f t="shared" si="1119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20"/>
        <v>8223</v>
      </c>
      <c r="EHD15" s="68">
        <f t="shared" si="1121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2"/>
        <v>11486</v>
      </c>
      <c r="EHL15" s="68">
        <f t="shared" si="1123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4"/>
        <v>8375</v>
      </c>
      <c r="EHT15" s="68">
        <f t="shared" si="1125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6"/>
        <v>1537</v>
      </c>
      <c r="EIB15" s="68">
        <f t="shared" si="1127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8"/>
        <v>120</v>
      </c>
      <c r="EIJ15" s="68">
        <f t="shared" si="1129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30"/>
        <v>10623</v>
      </c>
      <c r="EIR15" s="68">
        <f t="shared" si="1131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2"/>
        <v>6961</v>
      </c>
      <c r="EIZ15" s="68">
        <f t="shared" si="1133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4"/>
        <v>13607</v>
      </c>
      <c r="EJH15" s="68">
        <f t="shared" si="1135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6"/>
        <v>7118</v>
      </c>
      <c r="EJP15" s="68">
        <f t="shared" si="1137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8"/>
        <v>8567</v>
      </c>
      <c r="EJX15" s="68">
        <f t="shared" si="1139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40"/>
        <v>6231</v>
      </c>
      <c r="EKF15" s="68">
        <f t="shared" si="1141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2"/>
        <v>5665</v>
      </c>
      <c r="EKN15" s="68">
        <f t="shared" si="1143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4"/>
        <v>7159</v>
      </c>
      <c r="EKV15" s="68">
        <f t="shared" si="1145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6"/>
        <v>7847</v>
      </c>
      <c r="ELD15" s="68">
        <f t="shared" si="1147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8"/>
        <v>6654</v>
      </c>
      <c r="ELL15" s="184">
        <f t="shared" si="1149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50"/>
        <v>8310</v>
      </c>
      <c r="ELU15" s="211">
        <f t="shared" si="1151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2"/>
        <v>10280</v>
      </c>
      <c r="EMC15" s="211">
        <f t="shared" si="1153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4"/>
        <v>6010</v>
      </c>
      <c r="EMK15" s="211">
        <f t="shared" si="1155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6"/>
        <v>7342</v>
      </c>
      <c r="EMS15" s="211">
        <f t="shared" si="1157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8"/>
        <v>15198</v>
      </c>
      <c r="ENA15" s="211">
        <f t="shared" si="1159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60"/>
        <v>2492</v>
      </c>
      <c r="ENI15" s="211">
        <f t="shared" si="1161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2"/>
        <v>13330</v>
      </c>
      <c r="ENQ15" s="211">
        <f t="shared" si="1163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4"/>
        <v>4512</v>
      </c>
      <c r="ENY15" s="211">
        <f t="shared" si="1165"/>
        <v>752</v>
      </c>
      <c r="ENZ15" s="244">
        <f>SUMIF(SUMPK!$B:$B,$B:$B,SUMPK!$O:$O)</f>
        <v>2321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6"/>
        <v>13454</v>
      </c>
      <c r="EOG15" s="211">
        <f t="shared" si="1167"/>
        <v>2242.3333333333335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8"/>
        <v>1460</v>
      </c>
      <c r="EOO15" s="211">
        <f t="shared" si="1169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70"/>
        <v>13248</v>
      </c>
      <c r="EOW15" s="211">
        <f t="shared" si="1171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2"/>
        <v>15173</v>
      </c>
      <c r="EPE15" s="211">
        <f t="shared" si="1173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4"/>
        <v>6319</v>
      </c>
      <c r="EPM15" s="211">
        <f t="shared" si="1175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6"/>
        <v>7139</v>
      </c>
      <c r="EPU15" s="211">
        <f t="shared" si="1177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8"/>
        <v>9889</v>
      </c>
      <c r="EQC15" s="211">
        <f t="shared" si="1179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80"/>
        <v>9770</v>
      </c>
      <c r="EQK15" s="211">
        <f t="shared" si="1181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2"/>
        <v>10670</v>
      </c>
      <c r="EQS15" s="211">
        <f t="shared" si="1183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4"/>
        <v>8343</v>
      </c>
      <c r="ERA15" s="211">
        <f t="shared" si="1185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6"/>
        <v>5525</v>
      </c>
      <c r="ERI15" s="211">
        <f t="shared" si="1187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8"/>
        <v>9802</v>
      </c>
      <c r="ERQ15" s="211">
        <f t="shared" si="1189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90"/>
        <v>3803</v>
      </c>
      <c r="ERY15" s="211">
        <f t="shared" si="1191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2"/>
        <v>4184</v>
      </c>
      <c r="ESG15" s="211">
        <f t="shared" si="1193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4"/>
        <v>6576</v>
      </c>
      <c r="ESO15" s="211">
        <f t="shared" si="1195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6"/>
        <v>9072</v>
      </c>
      <c r="ESW15" s="211">
        <f t="shared" si="1197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8"/>
        <v>6184</v>
      </c>
      <c r="ETE15" s="736">
        <f t="shared" si="1199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200"/>
        <v>6170</v>
      </c>
      <c r="ETM15" s="211">
        <f t="shared" si="1201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2"/>
        <v>10177</v>
      </c>
      <c r="ETU15" s="211">
        <f t="shared" si="1203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4"/>
        <v>292</v>
      </c>
      <c r="EUC15" s="211">
        <f t="shared" si="1205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6"/>
        <v>4849</v>
      </c>
      <c r="EUK15" s="211">
        <f t="shared" si="1207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8"/>
        <v>5288</v>
      </c>
      <c r="EUS15" s="211">
        <f t="shared" si="1209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10"/>
        <v>11141</v>
      </c>
      <c r="EVA15" s="211">
        <f t="shared" si="1211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2"/>
        <v>6684</v>
      </c>
      <c r="EVI15" s="211">
        <f t="shared" si="1213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4"/>
        <v>6405</v>
      </c>
      <c r="EVQ15" s="211">
        <f t="shared" si="1215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6"/>
        <v>16216</v>
      </c>
      <c r="EVY15" s="211">
        <f t="shared" si="1217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8"/>
        <v>10362</v>
      </c>
      <c r="EWG15" s="211">
        <f t="shared" si="1219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20"/>
        <v>9760</v>
      </c>
      <c r="EWO15" s="211">
        <f t="shared" si="1221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2"/>
        <v>2830</v>
      </c>
      <c r="EWW15" s="211">
        <f t="shared" si="1223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4"/>
        <v>5026</v>
      </c>
      <c r="EXE15" s="211">
        <f t="shared" si="1225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6"/>
        <v>14566</v>
      </c>
      <c r="EXM15" s="211">
        <f t="shared" si="1227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8"/>
        <v>2293</v>
      </c>
      <c r="EXU15" s="211">
        <f t="shared" si="1229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30"/>
        <v>7839</v>
      </c>
      <c r="EYC15" s="211">
        <f t="shared" si="1231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2"/>
        <v>12030</v>
      </c>
      <c r="EYK15" s="211">
        <f t="shared" si="1233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4"/>
        <v>15955</v>
      </c>
      <c r="EYS15" s="211">
        <f t="shared" si="1235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6"/>
        <v>7844</v>
      </c>
      <c r="EZA15" s="211">
        <f t="shared" si="1237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8"/>
        <v>10137</v>
      </c>
      <c r="EZI15" s="211">
        <f t="shared" si="1239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40"/>
        <v>10397</v>
      </c>
      <c r="EZQ15" s="873">
        <f t="shared" si="1241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2"/>
        <v>12281</v>
      </c>
      <c r="EZY15" s="873">
        <f t="shared" si="1243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4"/>
        <v>5119</v>
      </c>
      <c r="FAG15" s="873">
        <f t="shared" si="1245"/>
        <v>853.16666666666663</v>
      </c>
      <c r="FAH15" s="195">
        <v>0</v>
      </c>
      <c r="FAI15" s="49">
        <v>2301</v>
      </c>
      <c r="FAJ15" s="49">
        <v>2349</v>
      </c>
      <c r="FAK15" s="49">
        <v>0</v>
      </c>
      <c r="FAL15" s="49">
        <v>434</v>
      </c>
      <c r="FAM15" s="49">
        <v>3129</v>
      </c>
      <c r="FAN15" s="872">
        <f t="shared" si="1246"/>
        <v>8213</v>
      </c>
      <c r="FAO15" s="873">
        <f t="shared" si="1247"/>
        <v>1368.8333333333333</v>
      </c>
      <c r="FAP15" s="195">
        <v>1247</v>
      </c>
      <c r="FAQ15" s="49">
        <v>818</v>
      </c>
      <c r="FAR15" s="49"/>
      <c r="FAS15" s="49"/>
      <c r="FAT15" s="49"/>
      <c r="FAU15" s="49"/>
      <c r="FAV15" s="872">
        <f t="shared" si="1248"/>
        <v>2065</v>
      </c>
      <c r="FAW15" s="873">
        <f t="shared" si="1249"/>
        <v>344.16666666666669</v>
      </c>
    </row>
    <row r="16" spans="1:4105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8814</v>
      </c>
      <c r="G16" s="24"/>
      <c r="H16" s="24"/>
      <c r="I16" s="24"/>
      <c r="J16" s="360">
        <f>SUMIF(SUMPK!$B:$B,$B:$B,SUMPK!$O:$O)</f>
        <v>1518</v>
      </c>
      <c r="K16" s="24"/>
      <c r="L16" s="24">
        <f>F16+H16-J16</f>
        <v>7296</v>
      </c>
      <c r="M16" s="24">
        <f t="shared" si="570"/>
        <v>7296</v>
      </c>
      <c r="N16" s="15">
        <v>1548.1666666666667</v>
      </c>
      <c r="O16" s="276">
        <f t="shared" si="0"/>
        <v>4.7126709010657768</v>
      </c>
      <c r="P16" s="15">
        <v>869.66666666666663</v>
      </c>
      <c r="Q16" s="276">
        <f t="shared" si="571"/>
        <v>50.336527405136074</v>
      </c>
      <c r="R16" s="277">
        <f t="shared" si="572"/>
        <v>1843.0769230769231</v>
      </c>
      <c r="S16" s="222">
        <v>47920</v>
      </c>
      <c r="T16" s="276">
        <f t="shared" si="573"/>
        <v>3.9585976627712856</v>
      </c>
      <c r="U16" s="278"/>
      <c r="V16" s="277">
        <f t="shared" si="1"/>
        <v>3.9585976627712856</v>
      </c>
      <c r="W16" s="279">
        <f t="shared" si="1252"/>
        <v>1</v>
      </c>
      <c r="X16" s="299"/>
      <c r="Y16" s="280" t="e">
        <f>#REF!+#REF!</f>
        <v>#REF!</v>
      </c>
      <c r="Z16" s="280" t="e">
        <f t="shared" si="1257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4"/>
        <v>4670</v>
      </c>
      <c r="BAV16" s="43">
        <f t="shared" si="575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6"/>
        <v>6565</v>
      </c>
      <c r="BBD16" s="43">
        <f t="shared" si="577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8"/>
        <v>7544</v>
      </c>
      <c r="BBL16" s="43">
        <f t="shared" si="579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80"/>
        <v>4966</v>
      </c>
      <c r="BBT16" s="43">
        <f t="shared" si="581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2"/>
        <v>8336</v>
      </c>
      <c r="BCB16" s="43">
        <f t="shared" si="583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4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5"/>
        <v>6065</v>
      </c>
      <c r="BCR16" s="43">
        <f t="shared" si="586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7"/>
        <v>5332</v>
      </c>
      <c r="BCZ16" s="43">
        <f t="shared" si="588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9"/>
        <v>6985</v>
      </c>
      <c r="BDH16" s="43">
        <f t="shared" si="590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1"/>
        <v>7583</v>
      </c>
      <c r="BDP16" s="43">
        <f t="shared" si="592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3"/>
        <v>12316</v>
      </c>
      <c r="BDX16" s="43">
        <f t="shared" si="594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5"/>
        <v>20265</v>
      </c>
      <c r="BEF16" s="43">
        <f t="shared" si="596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7"/>
        <v>14429</v>
      </c>
      <c r="BEN16" s="43">
        <f t="shared" si="598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9"/>
        <v>4254</v>
      </c>
      <c r="BEV16" s="43">
        <f t="shared" si="600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1"/>
        <v>4247</v>
      </c>
      <c r="BFD16" s="43">
        <f t="shared" si="602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3"/>
        <v>6938</v>
      </c>
      <c r="BFL16" s="68">
        <f t="shared" si="604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5"/>
        <v>8709</v>
      </c>
      <c r="BFT16" s="68">
        <f t="shared" si="606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7"/>
        <v>6203</v>
      </c>
      <c r="BGB16" s="68">
        <f t="shared" si="608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9"/>
        <v>6389</v>
      </c>
      <c r="BGJ16" s="68">
        <f t="shared" si="610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1"/>
        <v>4684</v>
      </c>
      <c r="BGR16" s="68">
        <f t="shared" si="612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3"/>
        <v>9018</v>
      </c>
      <c r="BGZ16" s="68">
        <f t="shared" si="614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5"/>
        <v>4819</v>
      </c>
      <c r="BHH16" s="68">
        <f t="shared" si="616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7"/>
        <v>4424</v>
      </c>
      <c r="BHP16" s="184">
        <f t="shared" si="618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9"/>
        <v>8439</v>
      </c>
      <c r="BHX16" s="211">
        <f t="shared" si="620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1"/>
        <v>5182</v>
      </c>
      <c r="BIF16" s="184">
        <f t="shared" si="622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3"/>
        <v>16047</v>
      </c>
      <c r="BIN16" s="184">
        <f t="shared" si="624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5"/>
        <v>12554</v>
      </c>
      <c r="BIV16" s="211">
        <f t="shared" si="626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7"/>
        <v>3559</v>
      </c>
      <c r="BJD16" s="211">
        <f t="shared" si="628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9"/>
        <v>1398</v>
      </c>
      <c r="BJL16" s="211">
        <f t="shared" si="630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1"/>
        <v>6932</v>
      </c>
      <c r="BJT16" s="184">
        <f t="shared" si="632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3"/>
        <v>6000</v>
      </c>
      <c r="BKB16" s="184">
        <f t="shared" si="634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5"/>
        <v>7009</v>
      </c>
      <c r="BKJ16" s="184">
        <f t="shared" si="636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7"/>
        <v>2075</v>
      </c>
      <c r="BKR16" s="184">
        <f t="shared" si="638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9"/>
        <v>5131</v>
      </c>
      <c r="BKZ16" s="211">
        <f t="shared" si="640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1"/>
        <v>4781</v>
      </c>
      <c r="BLH16" s="211">
        <f t="shared" si="642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3"/>
        <v>10953</v>
      </c>
      <c r="BLP16" s="184">
        <f t="shared" si="644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5"/>
        <v>2079</v>
      </c>
      <c r="BLX16" s="184">
        <f t="shared" si="646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7"/>
        <v>5157</v>
      </c>
      <c r="BMF16" s="68">
        <f t="shared" si="648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9"/>
        <v>9414</v>
      </c>
      <c r="BMN16" s="68">
        <f t="shared" si="650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1"/>
        <v>7015</v>
      </c>
      <c r="BMV16" s="68">
        <f t="shared" si="652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3"/>
        <v>9342</v>
      </c>
      <c r="BND16" s="68">
        <f t="shared" si="654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5"/>
        <v>11735</v>
      </c>
      <c r="BNL16" s="68">
        <f t="shared" si="656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7"/>
        <v>57</v>
      </c>
      <c r="BNT16" s="68">
        <f t="shared" si="658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9"/>
        <v>12799</v>
      </c>
      <c r="BOB16" s="184">
        <f t="shared" si="660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1"/>
        <v>15972</v>
      </c>
      <c r="BOJ16" s="184">
        <f t="shared" si="662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3"/>
        <v>7820</v>
      </c>
      <c r="BOR16" s="68">
        <f t="shared" si="664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5"/>
        <v>15519</v>
      </c>
      <c r="BOZ16" s="68">
        <f t="shared" si="666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7"/>
        <v>1830</v>
      </c>
      <c r="BPH16" s="68">
        <f t="shared" si="668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9"/>
        <v>3272</v>
      </c>
      <c r="BPP16" s="68">
        <f t="shared" si="670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1"/>
        <v>6843</v>
      </c>
      <c r="BPX16" s="68">
        <f t="shared" si="672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3"/>
        <v>10093</v>
      </c>
      <c r="BQF16" s="68">
        <f t="shared" si="674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5"/>
        <v>9019</v>
      </c>
      <c r="BQN16" s="68">
        <f t="shared" si="676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7"/>
        <v>6795</v>
      </c>
      <c r="BQV16" s="68">
        <f t="shared" si="678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9"/>
        <v>3173</v>
      </c>
      <c r="BRD16" s="68">
        <f t="shared" si="680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1"/>
        <v>10556</v>
      </c>
      <c r="BRL16" s="68">
        <f t="shared" si="682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3"/>
        <v>19140</v>
      </c>
      <c r="BRT16" s="68">
        <f t="shared" si="684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5"/>
        <v>5864</v>
      </c>
      <c r="BSB16" s="68">
        <f t="shared" si="686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7"/>
        <v>7506</v>
      </c>
      <c r="BSJ16" s="68">
        <f t="shared" si="688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9"/>
        <v>11439</v>
      </c>
      <c r="BSR16" s="68">
        <f t="shared" si="690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1"/>
        <v>2249</v>
      </c>
      <c r="BSZ16" s="68">
        <f t="shared" si="692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3"/>
        <v>6614</v>
      </c>
      <c r="BTH16" s="68">
        <f t="shared" si="694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5"/>
        <v>15040</v>
      </c>
      <c r="BTP16" s="68">
        <f t="shared" si="696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7"/>
        <v>2285</v>
      </c>
      <c r="BTX16" s="184">
        <f t="shared" si="698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9"/>
        <v>10489</v>
      </c>
      <c r="BUF16" s="184">
        <f t="shared" si="700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1"/>
        <v>9533</v>
      </c>
      <c r="BUN16" s="211">
        <f t="shared" si="702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3"/>
        <v>6830</v>
      </c>
      <c r="BUV16" s="211">
        <f t="shared" si="704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5"/>
        <v>2304</v>
      </c>
      <c r="BVD16" s="211">
        <f t="shared" si="706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7"/>
        <v>7822</v>
      </c>
      <c r="BVL16" s="184">
        <f t="shared" si="708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9"/>
        <v>8697</v>
      </c>
      <c r="BVT16" s="211">
        <f t="shared" si="710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1"/>
        <v>11902</v>
      </c>
      <c r="BWB16" s="184">
        <f t="shared" si="712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3"/>
        <v>7386</v>
      </c>
      <c r="BWJ16" s="184">
        <f t="shared" si="714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5"/>
        <v>5068</v>
      </c>
      <c r="BWR16" s="211">
        <f t="shared" si="716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7"/>
        <v>11462</v>
      </c>
      <c r="BWZ16" s="211">
        <f t="shared" si="718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9"/>
        <v>9571</v>
      </c>
      <c r="BXH16" s="211">
        <f t="shared" si="720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1"/>
        <v>13715</v>
      </c>
      <c r="BXP16" s="184">
        <f t="shared" si="722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3"/>
        <v>6999</v>
      </c>
      <c r="BXX16" s="184">
        <f t="shared" si="724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5"/>
        <v>8816</v>
      </c>
      <c r="BYF16" s="211">
        <f t="shared" si="726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7"/>
        <v>11310</v>
      </c>
      <c r="BYN16" s="184">
        <f t="shared" si="728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9"/>
        <v>11865</v>
      </c>
      <c r="BYV16" s="211">
        <f t="shared" si="730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1"/>
        <v>3233</v>
      </c>
      <c r="BZD16" s="184">
        <f t="shared" si="732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3"/>
        <v>9833</v>
      </c>
      <c r="BZL16" s="184">
        <f t="shared" si="734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5"/>
        <v>12687</v>
      </c>
      <c r="BZT16" s="68">
        <f t="shared" si="736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7"/>
        <v>12703</v>
      </c>
      <c r="CAB16" s="68">
        <f t="shared" si="738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9"/>
        <v>5402</v>
      </c>
      <c r="CAJ16" s="68">
        <f t="shared" si="740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1"/>
        <v>16293</v>
      </c>
      <c r="CAR16" s="184">
        <f t="shared" si="742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3"/>
        <v>4858</v>
      </c>
      <c r="CAZ16" s="211">
        <f t="shared" si="744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5"/>
        <v>3700</v>
      </c>
      <c r="CBH16" s="211">
        <f t="shared" si="746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7"/>
        <v>11747</v>
      </c>
      <c r="CBP16" s="184">
        <f t="shared" si="748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9"/>
        <v>4951</v>
      </c>
      <c r="CBX16" s="68">
        <f t="shared" si="750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1"/>
        <v>5521</v>
      </c>
      <c r="CCF16" s="68">
        <f t="shared" si="752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3"/>
        <v>4854</v>
      </c>
      <c r="CCN16" s="68">
        <f t="shared" si="754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5"/>
        <v>8935</v>
      </c>
      <c r="CCV16" s="68">
        <f t="shared" si="756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7"/>
        <v>10599</v>
      </c>
      <c r="CDD16" s="68">
        <f t="shared" si="758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9"/>
        <v>12603</v>
      </c>
      <c r="CDL16" s="68">
        <f t="shared" si="760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1"/>
        <v>7378</v>
      </c>
      <c r="CDT16" s="68">
        <f t="shared" si="762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3"/>
        <v>8009</v>
      </c>
      <c r="CEB16" s="68">
        <f t="shared" si="764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5"/>
        <v>11415</v>
      </c>
      <c r="CEJ16" s="68">
        <f t="shared" si="766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7"/>
        <v>6606</v>
      </c>
      <c r="CER16" s="68">
        <f t="shared" si="768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9"/>
        <v>12355</v>
      </c>
      <c r="CEZ16" s="68">
        <f t="shared" si="770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1"/>
        <v>7537</v>
      </c>
      <c r="CFH16" s="68">
        <f t="shared" si="772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3"/>
        <v>8547</v>
      </c>
      <c r="CFP16" s="68">
        <f t="shared" si="774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5"/>
        <v>9131</v>
      </c>
      <c r="CFX16" s="68">
        <f t="shared" si="776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7"/>
        <v>8532</v>
      </c>
      <c r="CGF16" s="68">
        <f t="shared" si="778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9"/>
        <v>14462</v>
      </c>
      <c r="CGN16" s="68">
        <f t="shared" si="780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1"/>
        <v>9250</v>
      </c>
      <c r="CGV16" s="68">
        <f t="shared" si="782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3"/>
        <v>7288</v>
      </c>
      <c r="CHD16" s="68">
        <f t="shared" si="784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5"/>
        <v>15127</v>
      </c>
      <c r="CHL16" s="68">
        <f t="shared" si="786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7"/>
        <v>10064</v>
      </c>
      <c r="CHT16" s="68">
        <f t="shared" si="788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9"/>
        <v>17750</v>
      </c>
      <c r="CIB16" s="68">
        <f t="shared" si="790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1"/>
        <v>16852</v>
      </c>
      <c r="CIJ16" s="68">
        <f t="shared" si="792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3"/>
        <v>7410</v>
      </c>
      <c r="CIR16" s="68">
        <f t="shared" si="794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5"/>
        <v>3219</v>
      </c>
      <c r="CIZ16" s="68">
        <f t="shared" si="796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7"/>
        <v>3238</v>
      </c>
      <c r="CJH16" s="68">
        <f t="shared" si="798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9"/>
        <v>5181</v>
      </c>
      <c r="CJP16" s="68">
        <f t="shared" si="800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1"/>
        <v>5621</v>
      </c>
      <c r="CJX16" s="68">
        <f t="shared" si="802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3"/>
        <v>11115</v>
      </c>
      <c r="CKF16" s="68">
        <f t="shared" si="804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5"/>
        <v>15114</v>
      </c>
      <c r="CKN16" s="68">
        <f t="shared" si="806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7"/>
        <v>14599</v>
      </c>
      <c r="CKV16" s="68">
        <f t="shared" si="808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9"/>
        <v>3231</v>
      </c>
      <c r="CLD16" s="68">
        <f t="shared" si="810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1"/>
        <v>13572</v>
      </c>
      <c r="CLL16" s="68">
        <f t="shared" si="812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3"/>
        <v>3966</v>
      </c>
      <c r="CLT16" s="184">
        <f t="shared" si="814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5"/>
        <v>7610</v>
      </c>
      <c r="CMB16" s="68">
        <f t="shared" si="816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7"/>
        <v>12435</v>
      </c>
      <c r="CMJ16" s="68">
        <f t="shared" si="818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9"/>
        <v>6986</v>
      </c>
      <c r="CMR16" s="68">
        <f t="shared" si="820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1"/>
        <v>8132</v>
      </c>
      <c r="CMZ16" s="68">
        <f t="shared" si="822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3"/>
        <v>12378</v>
      </c>
      <c r="CNH16" s="68">
        <f t="shared" si="824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5"/>
        <v>9035</v>
      </c>
      <c r="CNP16" s="68">
        <f t="shared" si="826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7"/>
        <v>15260</v>
      </c>
      <c r="CNX16" s="68">
        <f t="shared" si="828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9"/>
        <v>15597</v>
      </c>
      <c r="COF16" s="68">
        <f t="shared" si="830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1"/>
        <v>1808</v>
      </c>
      <c r="CON16" s="68">
        <f t="shared" si="832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3"/>
        <v>8739</v>
      </c>
      <c r="COV16" s="68">
        <f t="shared" si="834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5"/>
        <v>6850</v>
      </c>
      <c r="CPD16" s="68">
        <f t="shared" si="836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7"/>
        <v>14927</v>
      </c>
      <c r="CPL16" s="68">
        <f t="shared" si="838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9"/>
        <v>9563</v>
      </c>
      <c r="CPT16" s="68">
        <f t="shared" si="840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1"/>
        <v>5298</v>
      </c>
      <c r="CQB16" s="68">
        <f t="shared" si="842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3"/>
        <v>10888</v>
      </c>
      <c r="CQJ16" s="68">
        <f t="shared" si="844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5"/>
        <v>9986</v>
      </c>
      <c r="CQR16" s="68">
        <f t="shared" si="846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1518</v>
      </c>
      <c r="CQX16" s="49">
        <v>1438</v>
      </c>
      <c r="CQY16" s="67">
        <f t="shared" si="847"/>
        <v>8735</v>
      </c>
      <c r="CQZ16" s="68">
        <f t="shared" si="848"/>
        <v>1455.8333333333333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9"/>
        <v>17999</v>
      </c>
      <c r="CRH16" s="68">
        <f t="shared" si="850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1"/>
        <v>9646</v>
      </c>
      <c r="CRP16" s="68">
        <f t="shared" si="852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3"/>
        <v>7692</v>
      </c>
      <c r="CRX16" s="68">
        <f t="shared" si="854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50"/>
        <v>8908</v>
      </c>
      <c r="CSF16" s="68">
        <f t="shared" si="1251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7"/>
        <v>12117</v>
      </c>
      <c r="CSN16" s="68">
        <f t="shared" si="858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9"/>
        <v>9968</v>
      </c>
      <c r="CSV16" s="68">
        <f t="shared" si="860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1"/>
        <v>15474</v>
      </c>
      <c r="CTD16" s="68">
        <f t="shared" si="862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3"/>
        <v>3314</v>
      </c>
      <c r="CTL16" s="68">
        <f t="shared" si="864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5"/>
        <v>8714</v>
      </c>
      <c r="CTT16" s="68">
        <f t="shared" si="866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7"/>
        <v>18457</v>
      </c>
      <c r="CUB16" s="68">
        <f t="shared" si="868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9"/>
        <v>8765</v>
      </c>
      <c r="CUJ16" s="68">
        <f t="shared" si="870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1"/>
        <v>5266</v>
      </c>
      <c r="CUR16" s="68">
        <f t="shared" si="872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3"/>
        <v>16884</v>
      </c>
      <c r="CUZ16" s="68">
        <f t="shared" si="874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5"/>
        <v>5696</v>
      </c>
      <c r="CVH16" s="68">
        <f t="shared" si="876"/>
        <v>949.33333333333337</v>
      </c>
      <c r="CVI16" s="48">
        <v>2412</v>
      </c>
      <c r="CVJ16" s="49">
        <f>SUMIF(SUMPK!$B:$B,$B:$B,SUMPK!$O:$O)</f>
        <v>1518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7"/>
        <v>10505</v>
      </c>
      <c r="CVP16" s="68">
        <f t="shared" si="878"/>
        <v>1750.8333333333333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9"/>
        <v>4385</v>
      </c>
      <c r="CVX16" s="68">
        <f t="shared" si="880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1"/>
        <v>7820</v>
      </c>
      <c r="CWF16" s="68">
        <f t="shared" si="882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3"/>
        <v>7049</v>
      </c>
      <c r="CWN16" s="68">
        <f t="shared" si="884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5"/>
        <v>9208</v>
      </c>
      <c r="CWV16" s="43">
        <f t="shared" si="886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7"/>
        <v>6349</v>
      </c>
      <c r="CXD16" s="43">
        <f t="shared" si="888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9"/>
        <v>13176</v>
      </c>
      <c r="CXL16" s="43">
        <f t="shared" si="890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1"/>
        <v>7284</v>
      </c>
      <c r="CXT16" s="43">
        <f t="shared" si="892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3"/>
        <v>13130</v>
      </c>
      <c r="CYB16" s="43">
        <f t="shared" si="894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5"/>
        <v>6935</v>
      </c>
      <c r="CYJ16" s="43">
        <f t="shared" si="896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7"/>
        <v>13376</v>
      </c>
      <c r="CYR16" s="43">
        <f t="shared" si="898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9"/>
        <v>13953</v>
      </c>
      <c r="CYZ16" s="43">
        <f t="shared" si="900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1"/>
        <v>5577</v>
      </c>
      <c r="CZH16" s="43">
        <f t="shared" si="902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3"/>
        <v>7785</v>
      </c>
      <c r="CZP16" s="43">
        <f t="shared" si="904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5"/>
        <v>8358</v>
      </c>
      <c r="CZX16" s="43">
        <f t="shared" si="906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7"/>
        <v>11100</v>
      </c>
      <c r="DAF16" s="43">
        <f t="shared" si="908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9"/>
        <v>10493</v>
      </c>
      <c r="DAN16" s="43">
        <f t="shared" si="910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1"/>
        <v>13042</v>
      </c>
      <c r="DAV16" s="68">
        <f t="shared" si="912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3"/>
        <v>10073</v>
      </c>
      <c r="DBD16" s="68">
        <f t="shared" si="914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5"/>
        <v>3084</v>
      </c>
      <c r="DBL16" s="68">
        <f t="shared" si="916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7"/>
        <v>11525</v>
      </c>
      <c r="DBT16" s="68">
        <f t="shared" si="918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9"/>
        <v>12210</v>
      </c>
      <c r="DCB16" s="184">
        <f t="shared" si="920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1"/>
        <v>7927</v>
      </c>
      <c r="DCJ16" s="211">
        <f t="shared" si="922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3"/>
        <v>7883</v>
      </c>
      <c r="DCR16" s="211">
        <f t="shared" si="924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5"/>
        <v>12602</v>
      </c>
      <c r="DCZ16" s="184">
        <f t="shared" si="926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7"/>
        <v>11154</v>
      </c>
      <c r="DDH16" s="211">
        <f t="shared" si="928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9"/>
        <v>7710</v>
      </c>
      <c r="DDP16" s="184">
        <f t="shared" si="930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1"/>
        <v>15517</v>
      </c>
      <c r="DDX16" s="211">
        <f t="shared" si="932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3"/>
        <v>13881</v>
      </c>
      <c r="DEF16" s="214">
        <f t="shared" si="934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5"/>
        <v>4871</v>
      </c>
      <c r="DEN16" s="101">
        <f t="shared" si="936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7"/>
        <v>6190</v>
      </c>
      <c r="DEV16" s="101">
        <f t="shared" si="938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9"/>
        <v>9256</v>
      </c>
      <c r="DFD16" s="43">
        <f t="shared" si="940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1"/>
        <v>5005</v>
      </c>
      <c r="DFL16" s="43">
        <f t="shared" si="942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3"/>
        <v>11473</v>
      </c>
      <c r="DFT16" s="43">
        <f t="shared" si="944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5"/>
        <v>7275</v>
      </c>
      <c r="DGB16" s="43">
        <f t="shared" si="946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7"/>
        <v>3913</v>
      </c>
      <c r="DGJ16" s="68">
        <f t="shared" si="948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9"/>
        <v>13638</v>
      </c>
      <c r="DGR16" s="68">
        <f t="shared" si="950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1"/>
        <v>6837</v>
      </c>
      <c r="DGZ16" s="68">
        <f t="shared" si="952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3"/>
        <v>9134</v>
      </c>
      <c r="DHH16" s="68">
        <f t="shared" si="954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5"/>
        <v>12423</v>
      </c>
      <c r="DHP16" s="68">
        <f t="shared" si="956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7"/>
        <v>10286</v>
      </c>
      <c r="DHX16" s="68">
        <f t="shared" si="958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9"/>
        <v>9237</v>
      </c>
      <c r="DIF16" s="68">
        <f t="shared" si="960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1"/>
        <v>8762</v>
      </c>
      <c r="DIN16" s="68">
        <f t="shared" si="962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3"/>
        <v>6552</v>
      </c>
      <c r="DIV16" s="68">
        <f t="shared" si="964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5"/>
        <v>9081</v>
      </c>
      <c r="DJD16" s="68">
        <f t="shared" si="966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7"/>
        <v>11873</v>
      </c>
      <c r="DJL16" s="68">
        <f t="shared" si="968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9"/>
        <v>9238</v>
      </c>
      <c r="DJT16" s="68">
        <f t="shared" si="970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1"/>
        <v>10064</v>
      </c>
      <c r="DKB16" s="68">
        <f t="shared" si="972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3"/>
        <v>14806</v>
      </c>
      <c r="DKJ16" s="68">
        <f t="shared" si="974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5"/>
        <v>7333</v>
      </c>
      <c r="DKR16" s="68">
        <f t="shared" si="976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7"/>
        <v>8268</v>
      </c>
      <c r="DKZ16" s="68">
        <f t="shared" si="978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9"/>
        <v>12159</v>
      </c>
      <c r="DLH16" s="68">
        <f t="shared" si="980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1"/>
        <v>10362</v>
      </c>
      <c r="DLP16" s="68">
        <f t="shared" si="982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3"/>
        <v>19378</v>
      </c>
      <c r="DLX16" s="68">
        <f t="shared" si="984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5"/>
        <v>18221</v>
      </c>
      <c r="DMF16" s="68">
        <f t="shared" si="986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7"/>
        <v>6869</v>
      </c>
      <c r="DMN16" s="68">
        <f t="shared" si="988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9"/>
        <v>12205</v>
      </c>
      <c r="DMV16" s="68">
        <f t="shared" si="990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1"/>
        <v>7739</v>
      </c>
      <c r="DND16" s="68">
        <f t="shared" si="992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3"/>
        <v>7005</v>
      </c>
      <c r="DNL16" s="68">
        <f t="shared" si="994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5"/>
        <v>5191</v>
      </c>
      <c r="DNT16" s="68">
        <f t="shared" si="996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7"/>
        <v>8822</v>
      </c>
      <c r="DOB16" s="68">
        <f t="shared" si="998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9"/>
        <v>7186</v>
      </c>
      <c r="DOJ16" s="68">
        <f t="shared" si="1000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1"/>
        <v>8928</v>
      </c>
      <c r="DOR16" s="68">
        <f t="shared" si="1002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3"/>
        <v>7024</v>
      </c>
      <c r="DOZ16" s="68">
        <f t="shared" si="1004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5"/>
        <v>10608</v>
      </c>
      <c r="DPH16" s="68">
        <f t="shared" si="1006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7"/>
        <v>10004</v>
      </c>
      <c r="DPP16" s="68">
        <f t="shared" si="1008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9"/>
        <v>15514</v>
      </c>
      <c r="DPX16" s="68">
        <f t="shared" si="1010"/>
        <v>2585.6666666666665</v>
      </c>
      <c r="DPY16" s="63">
        <v>0</v>
      </c>
      <c r="DPZ16" s="64">
        <v>0</v>
      </c>
      <c r="DQA16" s="64">
        <f>SUMIF(SUMPK!$B:$B,$B:$B,SUMPK!$O:$O)</f>
        <v>1518</v>
      </c>
      <c r="DQB16" s="64">
        <v>6258</v>
      </c>
      <c r="DQC16" s="64">
        <v>2242</v>
      </c>
      <c r="DQD16" s="64">
        <v>549</v>
      </c>
      <c r="DQE16" s="64">
        <f t="shared" si="1011"/>
        <v>10567</v>
      </c>
      <c r="DQF16" s="68">
        <f t="shared" si="1012"/>
        <v>1761.1666666666667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3"/>
        <v>12329</v>
      </c>
      <c r="DQN16" s="68">
        <f t="shared" si="1014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5"/>
        <v>9711</v>
      </c>
      <c r="DQV16" s="68">
        <f t="shared" si="1016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7"/>
        <v>2076</v>
      </c>
      <c r="DRD16" s="68">
        <f t="shared" si="1018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9"/>
        <v>15108</v>
      </c>
      <c r="DRL16" s="68">
        <f t="shared" si="1020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1"/>
        <v>4598</v>
      </c>
      <c r="DRT16" s="68">
        <f t="shared" si="1022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3"/>
        <v>7572</v>
      </c>
      <c r="DSB16" s="68">
        <f t="shared" si="1024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5"/>
        <v>13687</v>
      </c>
      <c r="DSJ16" s="68">
        <f t="shared" si="1026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7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8"/>
        <v>5442</v>
      </c>
      <c r="DSZ16" s="68">
        <f t="shared" si="1029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30"/>
        <v>11368</v>
      </c>
      <c r="DTH16" s="68">
        <f t="shared" si="1031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2"/>
        <v>4084</v>
      </c>
      <c r="DTP16" s="68">
        <f t="shared" si="1033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4"/>
        <v>8803</v>
      </c>
      <c r="DTX16" s="68">
        <f t="shared" si="1035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6"/>
        <v>14040</v>
      </c>
      <c r="DUF16" s="68">
        <f t="shared" si="1037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8"/>
        <v>6433</v>
      </c>
      <c r="DUN16" s="68">
        <f t="shared" si="1039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40"/>
        <v>6012</v>
      </c>
      <c r="DUV16" s="68">
        <f t="shared" si="1041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2"/>
        <v>4183</v>
      </c>
      <c r="DVD16" s="68">
        <f t="shared" si="1043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4"/>
        <v>11326</v>
      </c>
      <c r="DVL16" s="68">
        <f t="shared" si="1045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6"/>
        <v>9019</v>
      </c>
      <c r="DVT16" s="68">
        <f t="shared" si="1047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8"/>
        <v>8800</v>
      </c>
      <c r="DWB16" s="68">
        <f t="shared" si="1049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50"/>
        <v>6276</v>
      </c>
      <c r="DWJ16" s="68">
        <f t="shared" si="1051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2"/>
        <v>15623</v>
      </c>
      <c r="DWR16" s="68">
        <f t="shared" si="1053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4"/>
        <v>11360</v>
      </c>
      <c r="DWZ16" s="68">
        <f t="shared" si="1055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6"/>
        <v>10604</v>
      </c>
      <c r="DXH16" s="68">
        <f t="shared" si="1057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8"/>
        <v>10338</v>
      </c>
      <c r="DXP16" s="68">
        <f t="shared" si="1059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60"/>
        <v>14551</v>
      </c>
      <c r="DXX16" s="68">
        <f t="shared" si="1061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2"/>
        <v>8946</v>
      </c>
      <c r="DYF16" s="68">
        <f t="shared" si="1063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4"/>
        <v>12994</v>
      </c>
      <c r="DYN16" s="68">
        <f t="shared" si="1065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6"/>
        <v>11622</v>
      </c>
      <c r="DYV16" s="68">
        <f t="shared" si="1067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8"/>
        <v>11481</v>
      </c>
      <c r="DZD16" s="68">
        <f t="shared" si="1069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70"/>
        <v>16628</v>
      </c>
      <c r="DZL16" s="68">
        <f t="shared" si="1071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2"/>
        <v>13461</v>
      </c>
      <c r="DZT16" s="68">
        <f t="shared" si="1073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4"/>
        <v>4930</v>
      </c>
      <c r="EAB16" s="68">
        <f t="shared" si="1075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6"/>
        <v>12965</v>
      </c>
      <c r="EAJ16" s="68">
        <f t="shared" si="1077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8"/>
        <v>8081</v>
      </c>
      <c r="EAR16" s="68">
        <f t="shared" si="1079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80"/>
        <v>5282</v>
      </c>
      <c r="EAZ16" s="68">
        <f t="shared" si="1081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2"/>
        <v>9560</v>
      </c>
      <c r="EBH16" s="68">
        <f t="shared" si="1083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4"/>
        <v>10287</v>
      </c>
      <c r="EBP16" s="68">
        <f t="shared" si="1085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6"/>
        <v>6677</v>
      </c>
      <c r="EBX16" s="68">
        <f t="shared" si="1087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8"/>
        <v>5704</v>
      </c>
      <c r="ECF16" s="68">
        <f t="shared" si="1089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90"/>
        <v>5374</v>
      </c>
      <c r="ECN16" s="68">
        <f t="shared" si="1091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2"/>
        <v>6787</v>
      </c>
      <c r="ECV16" s="68">
        <f t="shared" si="1093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4"/>
        <v>7988</v>
      </c>
      <c r="EDD16" s="68">
        <f t="shared" si="1095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6"/>
        <v>5759</v>
      </c>
      <c r="EDL16" s="68">
        <f t="shared" si="1097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8"/>
        <v>11135</v>
      </c>
      <c r="EDT16" s="68">
        <f t="shared" si="1099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100"/>
        <v>8107</v>
      </c>
      <c r="EEB16" s="68">
        <f t="shared" si="1101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2"/>
        <v>12834</v>
      </c>
      <c r="EEJ16" s="68">
        <f t="shared" si="1103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4"/>
        <v>13424</v>
      </c>
      <c r="EER16" s="68">
        <f t="shared" si="1105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6"/>
        <v>3722</v>
      </c>
      <c r="EEZ16" s="68">
        <f t="shared" si="1107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8"/>
        <v>18435</v>
      </c>
      <c r="EFH16" s="68">
        <f t="shared" si="1109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10"/>
        <v>16164</v>
      </c>
      <c r="EFP16" s="68">
        <f t="shared" si="1111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2"/>
        <v>13413</v>
      </c>
      <c r="EFX16" s="68">
        <f t="shared" si="1113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4"/>
        <v>13135</v>
      </c>
      <c r="EGF16" s="68">
        <f t="shared" si="1115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6"/>
        <v>4643</v>
      </c>
      <c r="EGN16" s="68">
        <f t="shared" si="1117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8"/>
        <v>8470</v>
      </c>
      <c r="EGV16" s="68">
        <f t="shared" si="1119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20"/>
        <v>5132</v>
      </c>
      <c r="EHD16" s="68">
        <f t="shared" si="1121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2"/>
        <v>9910</v>
      </c>
      <c r="EHL16" s="68">
        <f t="shared" si="1123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4"/>
        <v>9545</v>
      </c>
      <c r="EHT16" s="68">
        <f t="shared" si="1125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6"/>
        <v>11658</v>
      </c>
      <c r="EIB16" s="68">
        <f t="shared" si="1127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8"/>
        <v>5635</v>
      </c>
      <c r="EIJ16" s="68">
        <f t="shared" si="1129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30"/>
        <v>6455</v>
      </c>
      <c r="EIR16" s="68">
        <f t="shared" si="1131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2"/>
        <v>8646</v>
      </c>
      <c r="EIZ16" s="68">
        <f t="shared" si="1133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4"/>
        <v>13184</v>
      </c>
      <c r="EJH16" s="68">
        <f t="shared" si="1135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6"/>
        <v>6261</v>
      </c>
      <c r="EJP16" s="68">
        <f t="shared" si="1137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8"/>
        <v>9752</v>
      </c>
      <c r="EJX16" s="68">
        <f t="shared" si="1139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40"/>
        <v>18596</v>
      </c>
      <c r="EKF16" s="68">
        <f t="shared" si="1141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2"/>
        <v>5541</v>
      </c>
      <c r="EKN16" s="68">
        <f t="shared" si="1143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4"/>
        <v>10366</v>
      </c>
      <c r="EKV16" s="68">
        <f t="shared" si="1145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6"/>
        <v>6388</v>
      </c>
      <c r="ELD16" s="68">
        <f t="shared" si="1147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8"/>
        <v>9492</v>
      </c>
      <c r="ELL16" s="184">
        <f t="shared" si="1149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50"/>
        <v>12362</v>
      </c>
      <c r="ELU16" s="211">
        <f t="shared" si="1151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2"/>
        <v>10119</v>
      </c>
      <c r="EMC16" s="211">
        <f t="shared" si="1153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4"/>
        <v>7995</v>
      </c>
      <c r="EMK16" s="211">
        <f t="shared" si="1155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6"/>
        <v>9552</v>
      </c>
      <c r="EMS16" s="211">
        <f t="shared" si="1157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8"/>
        <v>7177</v>
      </c>
      <c r="ENA16" s="211">
        <f t="shared" si="1159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60"/>
        <v>12831</v>
      </c>
      <c r="ENI16" s="211">
        <f t="shared" si="1161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2"/>
        <v>10010</v>
      </c>
      <c r="ENQ16" s="211">
        <f t="shared" si="1163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4"/>
        <v>4728</v>
      </c>
      <c r="ENY16" s="211">
        <f t="shared" si="1165"/>
        <v>788</v>
      </c>
      <c r="ENZ16" s="244">
        <f>SUMIF(SUMPK!$B:$B,$B:$B,SUMPK!$O:$O)</f>
        <v>1518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6"/>
        <v>8474</v>
      </c>
      <c r="EOG16" s="211">
        <f t="shared" si="1167"/>
        <v>1412.3333333333333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8"/>
        <v>13487</v>
      </c>
      <c r="EOO16" s="211">
        <f t="shared" si="1169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70"/>
        <v>3200</v>
      </c>
      <c r="EOW16" s="211">
        <f t="shared" si="1171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2"/>
        <v>12666</v>
      </c>
      <c r="EPE16" s="211">
        <f t="shared" si="1173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4"/>
        <v>6367</v>
      </c>
      <c r="EPM16" s="211">
        <f t="shared" si="1175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6"/>
        <v>14855</v>
      </c>
      <c r="EPU16" s="211">
        <f t="shared" si="1177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8"/>
        <v>12605</v>
      </c>
      <c r="EQC16" s="211">
        <f t="shared" si="1179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80"/>
        <v>9208</v>
      </c>
      <c r="EQK16" s="211">
        <f t="shared" si="1181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2"/>
        <v>6862</v>
      </c>
      <c r="EQS16" s="211">
        <f t="shared" si="1183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4"/>
        <v>11719</v>
      </c>
      <c r="ERA16" s="211">
        <f t="shared" si="1185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6"/>
        <v>4195</v>
      </c>
      <c r="ERI16" s="211">
        <f t="shared" si="1187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8"/>
        <v>13693</v>
      </c>
      <c r="ERQ16" s="211">
        <f t="shared" si="1189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90"/>
        <v>7890</v>
      </c>
      <c r="ERY16" s="211">
        <f t="shared" si="1191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2"/>
        <v>4545</v>
      </c>
      <c r="ESG16" s="211">
        <f t="shared" si="1193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4"/>
        <v>8509</v>
      </c>
      <c r="ESO16" s="211">
        <f t="shared" si="1195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6"/>
        <v>9100</v>
      </c>
      <c r="ESW16" s="211">
        <f t="shared" si="1197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8"/>
        <v>7615</v>
      </c>
      <c r="ETE16" s="736">
        <f t="shared" si="1199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200"/>
        <v>7446</v>
      </c>
      <c r="ETM16" s="211">
        <f t="shared" si="1201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2"/>
        <v>9155</v>
      </c>
      <c r="ETU16" s="211">
        <f t="shared" si="1203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4"/>
        <v>9316</v>
      </c>
      <c r="EUC16" s="211">
        <f t="shared" si="1205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6"/>
        <v>4518</v>
      </c>
      <c r="EUK16" s="211">
        <f t="shared" si="1207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8"/>
        <v>5360</v>
      </c>
      <c r="EUS16" s="211">
        <f t="shared" si="1209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10"/>
        <v>12000</v>
      </c>
      <c r="EVA16" s="211">
        <f t="shared" si="1211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2"/>
        <v>4597</v>
      </c>
      <c r="EVI16" s="211">
        <f t="shared" si="1213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4"/>
        <v>8194</v>
      </c>
      <c r="EVQ16" s="211">
        <f t="shared" si="1215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6"/>
        <v>11589</v>
      </c>
      <c r="EVY16" s="211">
        <f t="shared" si="1217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8"/>
        <v>15840</v>
      </c>
      <c r="EWG16" s="211">
        <f t="shared" si="1219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20"/>
        <v>14187</v>
      </c>
      <c r="EWO16" s="211">
        <f t="shared" si="1221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2"/>
        <v>5146</v>
      </c>
      <c r="EWW16" s="211">
        <f t="shared" si="1223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4"/>
        <v>8250</v>
      </c>
      <c r="EXE16" s="211">
        <f t="shared" si="1225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6"/>
        <v>13399</v>
      </c>
      <c r="EXM16" s="211">
        <f t="shared" si="1227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8"/>
        <v>9278</v>
      </c>
      <c r="EXU16" s="211">
        <f t="shared" si="1229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30"/>
        <v>6785</v>
      </c>
      <c r="EYC16" s="211">
        <f t="shared" si="1231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2"/>
        <v>13120</v>
      </c>
      <c r="EYK16" s="211">
        <f t="shared" si="1233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4"/>
        <v>7906</v>
      </c>
      <c r="EYS16" s="211">
        <f t="shared" si="1235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6"/>
        <v>10241</v>
      </c>
      <c r="EZA16" s="211">
        <f t="shared" si="1237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8"/>
        <v>13643</v>
      </c>
      <c r="EZI16" s="211">
        <f t="shared" si="1239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40"/>
        <v>12329</v>
      </c>
      <c r="EZQ16" s="873">
        <f t="shared" si="1241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2"/>
        <v>12849</v>
      </c>
      <c r="EZY16" s="873">
        <f t="shared" si="1243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4"/>
        <v>5218</v>
      </c>
      <c r="FAG16" s="873">
        <f t="shared" si="1245"/>
        <v>869.66666666666663</v>
      </c>
      <c r="FAH16" s="195">
        <v>2598</v>
      </c>
      <c r="FAI16" s="49">
        <v>871</v>
      </c>
      <c r="FAJ16" s="49">
        <v>0</v>
      </c>
      <c r="FAK16" s="49">
        <v>932</v>
      </c>
      <c r="FAL16" s="49">
        <v>2761</v>
      </c>
      <c r="FAM16" s="49">
        <v>2127</v>
      </c>
      <c r="FAN16" s="872">
        <f t="shared" si="1246"/>
        <v>9289</v>
      </c>
      <c r="FAO16" s="873">
        <f t="shared" si="1247"/>
        <v>1548.1666666666667</v>
      </c>
      <c r="FAP16" s="195">
        <v>2923</v>
      </c>
      <c r="FAQ16" s="49">
        <v>0</v>
      </c>
      <c r="FAR16" s="49"/>
      <c r="FAS16" s="49"/>
      <c r="FAT16" s="49"/>
      <c r="FAU16" s="49"/>
      <c r="FAV16" s="872">
        <f t="shared" si="1248"/>
        <v>2923</v>
      </c>
      <c r="FAW16" s="873">
        <f t="shared" si="1249"/>
        <v>487.16666666666669</v>
      </c>
    </row>
    <row r="17" spans="1:4105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38911</v>
      </c>
      <c r="G17" s="24"/>
      <c r="H17" s="24">
        <v>11435</v>
      </c>
      <c r="I17" s="24"/>
      <c r="J17" s="360">
        <f>SUMIF(SUMPK!$B:$B,$B:$B,SUMPK!$O:$O)</f>
        <v>7732</v>
      </c>
      <c r="K17" s="24"/>
      <c r="L17" s="24">
        <f>F17+H17-J17</f>
        <v>42614</v>
      </c>
      <c r="M17" s="24">
        <f t="shared" si="570"/>
        <v>42614</v>
      </c>
      <c r="N17" s="15">
        <v>8436.8333333333339</v>
      </c>
      <c r="O17" s="276">
        <f t="shared" si="0"/>
        <v>5.0509472353371123</v>
      </c>
      <c r="P17" s="15">
        <v>6584.666666666667</v>
      </c>
      <c r="Q17" s="276">
        <f t="shared" si="571"/>
        <v>38.830211602713376</v>
      </c>
      <c r="R17" s="277">
        <f t="shared" si="572"/>
        <v>7023.0769230769229</v>
      </c>
      <c r="S17" s="222">
        <v>182600</v>
      </c>
      <c r="T17" s="276">
        <f t="shared" si="573"/>
        <v>6.0677108433734945</v>
      </c>
      <c r="U17" s="278"/>
      <c r="V17" s="277">
        <f t="shared" si="1"/>
        <v>6.0677108433734945</v>
      </c>
      <c r="W17" s="279">
        <f t="shared" si="1252"/>
        <v>1</v>
      </c>
      <c r="X17" s="299"/>
      <c r="Y17" s="280" t="e">
        <f>#REF!+#REF!</f>
        <v>#REF!</v>
      </c>
      <c r="Z17" s="280" t="e">
        <f t="shared" si="1257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4"/>
        <v>17791</v>
      </c>
      <c r="BAV17" s="43">
        <f t="shared" si="575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6"/>
        <v>27518</v>
      </c>
      <c r="BBD17" s="43">
        <f t="shared" si="577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8"/>
        <v>24099</v>
      </c>
      <c r="BBL17" s="43">
        <f t="shared" si="579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80"/>
        <v>20201</v>
      </c>
      <c r="BBT17" s="43">
        <f t="shared" si="581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2"/>
        <v>36995</v>
      </c>
      <c r="BCB17" s="43">
        <f t="shared" si="583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4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5"/>
        <v>24618</v>
      </c>
      <c r="BCR17" s="43">
        <f t="shared" si="586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7"/>
        <v>28240</v>
      </c>
      <c r="BCZ17" s="43">
        <f t="shared" si="588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9"/>
        <v>18578</v>
      </c>
      <c r="BDH17" s="43">
        <f t="shared" si="590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1"/>
        <v>20255</v>
      </c>
      <c r="BDP17" s="43">
        <f t="shared" si="592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3"/>
        <v>22247</v>
      </c>
      <c r="BDX17" s="43">
        <f t="shared" si="594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5"/>
        <v>20721</v>
      </c>
      <c r="BEF17" s="43">
        <f t="shared" si="596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7"/>
        <v>23310</v>
      </c>
      <c r="BEN17" s="43">
        <f t="shared" si="598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9"/>
        <v>27843</v>
      </c>
      <c r="BEV17" s="43">
        <f t="shared" si="600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1"/>
        <v>25765</v>
      </c>
      <c r="BFD17" s="43">
        <f t="shared" si="602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3"/>
        <v>27721</v>
      </c>
      <c r="BFL17" s="68">
        <f t="shared" si="604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5"/>
        <v>27942</v>
      </c>
      <c r="BFT17" s="68">
        <f t="shared" si="606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7"/>
        <v>33051</v>
      </c>
      <c r="BGB17" s="68">
        <f t="shared" si="608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9"/>
        <v>30276</v>
      </c>
      <c r="BGJ17" s="68">
        <f t="shared" si="610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1"/>
        <v>30507</v>
      </c>
      <c r="BGR17" s="68">
        <f t="shared" si="612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3"/>
        <v>17757</v>
      </c>
      <c r="BGZ17" s="68">
        <f t="shared" si="614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5"/>
        <v>28684</v>
      </c>
      <c r="BHH17" s="68">
        <f t="shared" si="616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7"/>
        <v>28532</v>
      </c>
      <c r="BHP17" s="184">
        <f t="shared" si="618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9"/>
        <v>29262</v>
      </c>
      <c r="BHX17" s="211">
        <f t="shared" si="620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1"/>
        <v>30471</v>
      </c>
      <c r="BIF17" s="184">
        <f t="shared" si="622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3"/>
        <v>21043</v>
      </c>
      <c r="BIN17" s="184">
        <f t="shared" si="624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5"/>
        <v>26724</v>
      </c>
      <c r="BIV17" s="211">
        <f t="shared" si="626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7"/>
        <v>20995</v>
      </c>
      <c r="BJD17" s="211">
        <f t="shared" si="628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9"/>
        <v>15242</v>
      </c>
      <c r="BJL17" s="211">
        <f t="shared" si="630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1"/>
        <v>25541</v>
      </c>
      <c r="BJT17" s="184">
        <f t="shared" si="632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3"/>
        <v>33005</v>
      </c>
      <c r="BKB17" s="184">
        <f t="shared" si="634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5"/>
        <v>26142</v>
      </c>
      <c r="BKJ17" s="184">
        <f t="shared" si="636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7"/>
        <v>12775</v>
      </c>
      <c r="BKR17" s="184">
        <f t="shared" si="638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9"/>
        <v>22446</v>
      </c>
      <c r="BKZ17" s="211">
        <f t="shared" si="640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1"/>
        <v>16740</v>
      </c>
      <c r="BLH17" s="211">
        <f t="shared" si="642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3"/>
        <v>19259</v>
      </c>
      <c r="BLP17" s="184">
        <f t="shared" si="644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5"/>
        <v>18467</v>
      </c>
      <c r="BLX17" s="184">
        <f t="shared" si="646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7"/>
        <v>22884</v>
      </c>
      <c r="BMF17" s="68">
        <f t="shared" si="648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9"/>
        <v>30363</v>
      </c>
      <c r="BMN17" s="68">
        <f t="shared" si="650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1"/>
        <v>21649</v>
      </c>
      <c r="BMV17" s="68">
        <f t="shared" si="652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3"/>
        <v>36522</v>
      </c>
      <c r="BND17" s="68">
        <f t="shared" si="654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5"/>
        <v>17011</v>
      </c>
      <c r="BNL17" s="68">
        <f t="shared" si="656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7"/>
        <v>21547</v>
      </c>
      <c r="BNT17" s="68">
        <f t="shared" si="658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9"/>
        <v>27373</v>
      </c>
      <c r="BOB17" s="184">
        <f t="shared" si="660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1"/>
        <v>21189</v>
      </c>
      <c r="BOJ17" s="184">
        <f t="shared" si="662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3"/>
        <v>30936</v>
      </c>
      <c r="BOR17" s="68">
        <f t="shared" si="664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5"/>
        <v>28614</v>
      </c>
      <c r="BOZ17" s="68">
        <f t="shared" si="666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7"/>
        <v>32543</v>
      </c>
      <c r="BPH17" s="68">
        <f t="shared" si="668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9"/>
        <v>30867</v>
      </c>
      <c r="BPP17" s="68">
        <f t="shared" si="670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1"/>
        <v>26245</v>
      </c>
      <c r="BPX17" s="68">
        <f t="shared" si="672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3"/>
        <v>30564</v>
      </c>
      <c r="BQF17" s="68">
        <f t="shared" si="674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5"/>
        <v>49225</v>
      </c>
      <c r="BQN17" s="68">
        <f t="shared" si="676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7"/>
        <v>43319</v>
      </c>
      <c r="BQV17" s="68">
        <f t="shared" si="678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9"/>
        <v>30790</v>
      </c>
      <c r="BRD17" s="68">
        <f t="shared" si="680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1"/>
        <v>33251</v>
      </c>
      <c r="BRL17" s="68">
        <f t="shared" si="682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3"/>
        <v>67180</v>
      </c>
      <c r="BRT17" s="68">
        <f t="shared" si="684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5"/>
        <v>55771</v>
      </c>
      <c r="BSB17" s="68">
        <f t="shared" si="686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7"/>
        <v>39421</v>
      </c>
      <c r="BSJ17" s="68">
        <f t="shared" si="688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9"/>
        <v>21084</v>
      </c>
      <c r="BSR17" s="68">
        <f t="shared" si="690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1"/>
        <v>33174</v>
      </c>
      <c r="BSZ17" s="68">
        <f t="shared" si="692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3"/>
        <v>54916</v>
      </c>
      <c r="BTH17" s="68">
        <f t="shared" si="694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5"/>
        <v>17636</v>
      </c>
      <c r="BTP17" s="68">
        <f t="shared" si="696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7"/>
        <v>17524</v>
      </c>
      <c r="BTX17" s="184">
        <f t="shared" si="698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9"/>
        <v>36788</v>
      </c>
      <c r="BUF17" s="184">
        <f t="shared" si="700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1"/>
        <v>29651</v>
      </c>
      <c r="BUN17" s="211">
        <f t="shared" si="702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3"/>
        <v>26813</v>
      </c>
      <c r="BUV17" s="211">
        <f t="shared" si="704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5"/>
        <v>36427</v>
      </c>
      <c r="BVD17" s="211">
        <f t="shared" si="706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7"/>
        <v>27524</v>
      </c>
      <c r="BVL17" s="184">
        <f t="shared" si="708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9"/>
        <v>38355</v>
      </c>
      <c r="BVT17" s="211">
        <f t="shared" si="710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1"/>
        <v>47139</v>
      </c>
      <c r="BWB17" s="184">
        <f t="shared" si="712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3"/>
        <v>29652</v>
      </c>
      <c r="BWJ17" s="184">
        <f t="shared" si="714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5"/>
        <v>16067</v>
      </c>
      <c r="BWR17" s="211">
        <f t="shared" si="716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7"/>
        <v>34639</v>
      </c>
      <c r="BWZ17" s="211">
        <f t="shared" si="718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9"/>
        <v>22541</v>
      </c>
      <c r="BXH17" s="211">
        <f t="shared" si="720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1"/>
        <v>37858</v>
      </c>
      <c r="BXP17" s="184">
        <f t="shared" si="722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3"/>
        <v>30462</v>
      </c>
      <c r="BXX17" s="184">
        <f t="shared" si="724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5"/>
        <v>32585</v>
      </c>
      <c r="BYF17" s="211">
        <f t="shared" si="726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7"/>
        <v>31578</v>
      </c>
      <c r="BYN17" s="184">
        <f t="shared" si="728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9"/>
        <v>35616</v>
      </c>
      <c r="BYV17" s="211">
        <f t="shared" si="730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1"/>
        <v>35376</v>
      </c>
      <c r="BZD17" s="184">
        <f t="shared" si="732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3"/>
        <v>44348</v>
      </c>
      <c r="BZL17" s="184">
        <f t="shared" si="734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6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7"/>
        <v>43204</v>
      </c>
      <c r="CAB17" s="68">
        <f t="shared" si="738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9"/>
        <v>46349</v>
      </c>
      <c r="CAJ17" s="68">
        <f t="shared" si="740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1"/>
        <v>45899</v>
      </c>
      <c r="CAR17" s="184">
        <f t="shared" si="742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3"/>
        <v>39285</v>
      </c>
      <c r="CAZ17" s="211">
        <f t="shared" si="744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5"/>
        <v>41667</v>
      </c>
      <c r="CBH17" s="211">
        <f t="shared" si="746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7"/>
        <v>42524</v>
      </c>
      <c r="CBP17" s="184">
        <f t="shared" si="748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9"/>
        <v>45459</v>
      </c>
      <c r="CBX17" s="68">
        <f t="shared" si="750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1"/>
        <v>48282</v>
      </c>
      <c r="CCF17" s="68">
        <f t="shared" si="752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3"/>
        <v>32889</v>
      </c>
      <c r="CCN17" s="68">
        <f t="shared" si="754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5"/>
        <v>44265</v>
      </c>
      <c r="CCV17" s="68">
        <f t="shared" si="756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7"/>
        <v>52953</v>
      </c>
      <c r="CDD17" s="68">
        <f t="shared" si="758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9"/>
        <v>42482</v>
      </c>
      <c r="CDL17" s="68">
        <f t="shared" si="760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1"/>
        <v>17312</v>
      </c>
      <c r="CDT17" s="68">
        <f t="shared" si="762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3"/>
        <v>41389</v>
      </c>
      <c r="CEB17" s="68">
        <f t="shared" si="764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5"/>
        <v>31945</v>
      </c>
      <c r="CEJ17" s="68">
        <f t="shared" si="766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7"/>
        <v>40863</v>
      </c>
      <c r="CER17" s="68">
        <f t="shared" si="768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9"/>
        <v>30406</v>
      </c>
      <c r="CEZ17" s="68">
        <f t="shared" si="770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1"/>
        <v>51550</v>
      </c>
      <c r="CFH17" s="68">
        <f t="shared" si="772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3"/>
        <v>31243</v>
      </c>
      <c r="CFP17" s="68">
        <f t="shared" si="774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5"/>
        <v>26795</v>
      </c>
      <c r="CFX17" s="68">
        <f t="shared" si="776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7"/>
        <v>40332</v>
      </c>
      <c r="CGF17" s="68">
        <f t="shared" si="778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9"/>
        <v>32164</v>
      </c>
      <c r="CGN17" s="68">
        <f t="shared" si="780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1"/>
        <v>46479</v>
      </c>
      <c r="CGV17" s="68">
        <f t="shared" si="782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3"/>
        <v>31593</v>
      </c>
      <c r="CHD17" s="68">
        <f t="shared" si="784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5"/>
        <v>44473</v>
      </c>
      <c r="CHL17" s="68">
        <f t="shared" si="786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7"/>
        <v>37293</v>
      </c>
      <c r="CHT17" s="68">
        <f t="shared" si="788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9"/>
        <v>40912</v>
      </c>
      <c r="CIB17" s="68">
        <f t="shared" si="790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1"/>
        <v>44505</v>
      </c>
      <c r="CIJ17" s="68">
        <f t="shared" si="792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3"/>
        <v>38026</v>
      </c>
      <c r="CIR17" s="68">
        <f t="shared" si="794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5"/>
        <v>52037</v>
      </c>
      <c r="CIZ17" s="68">
        <f t="shared" si="796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7"/>
        <v>25543</v>
      </c>
      <c r="CJH17" s="68">
        <f t="shared" si="798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9"/>
        <v>53394</v>
      </c>
      <c r="CJP17" s="68">
        <f t="shared" si="800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1"/>
        <v>28999</v>
      </c>
      <c r="CJX17" s="68">
        <f t="shared" si="802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3"/>
        <v>53637</v>
      </c>
      <c r="CKF17" s="68">
        <f t="shared" si="804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5"/>
        <v>49370</v>
      </c>
      <c r="CKN17" s="68">
        <f t="shared" si="806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7"/>
        <v>30809</v>
      </c>
      <c r="CKV17" s="68">
        <f t="shared" si="808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9"/>
        <v>43304</v>
      </c>
      <c r="CLD17" s="68">
        <f t="shared" si="810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1"/>
        <v>33114</v>
      </c>
      <c r="CLL17" s="68">
        <f t="shared" si="812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3"/>
        <v>25940</v>
      </c>
      <c r="CLT17" s="184">
        <f t="shared" si="814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5"/>
        <v>41369</v>
      </c>
      <c r="CMB17" s="68">
        <f t="shared" si="816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7"/>
        <v>25615</v>
      </c>
      <c r="CMJ17" s="68">
        <f t="shared" si="818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9"/>
        <v>34399</v>
      </c>
      <c r="CMR17" s="68">
        <f t="shared" si="820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1"/>
        <v>50340</v>
      </c>
      <c r="CMZ17" s="68">
        <f t="shared" si="822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3"/>
        <v>36065</v>
      </c>
      <c r="CNH17" s="68">
        <f t="shared" si="824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5"/>
        <v>43826</v>
      </c>
      <c r="CNP17" s="68">
        <f t="shared" si="826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7"/>
        <v>31634</v>
      </c>
      <c r="CNX17" s="68">
        <f t="shared" si="828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9"/>
        <v>25828</v>
      </c>
      <c r="COF17" s="68">
        <f t="shared" si="830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1"/>
        <v>45136</v>
      </c>
      <c r="CON17" s="68">
        <f t="shared" si="832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3"/>
        <v>24104</v>
      </c>
      <c r="COV17" s="68">
        <f t="shared" si="834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5"/>
        <v>30271</v>
      </c>
      <c r="CPD17" s="68">
        <f t="shared" si="836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7"/>
        <v>36160</v>
      </c>
      <c r="CPL17" s="68">
        <f t="shared" si="838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9"/>
        <v>11497</v>
      </c>
      <c r="CPT17" s="68">
        <f t="shared" si="840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1"/>
        <v>26931</v>
      </c>
      <c r="CQB17" s="68">
        <f t="shared" si="842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3"/>
        <v>37852</v>
      </c>
      <c r="CQJ17" s="68">
        <f t="shared" si="844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5"/>
        <v>30306</v>
      </c>
      <c r="CQR17" s="68">
        <f t="shared" si="846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7732</v>
      </c>
      <c r="CQX17" s="49">
        <v>1654</v>
      </c>
      <c r="CQY17" s="67">
        <f t="shared" si="847"/>
        <v>23581</v>
      </c>
      <c r="CQZ17" s="68">
        <f t="shared" si="848"/>
        <v>3930.1666666666665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9"/>
        <v>22337</v>
      </c>
      <c r="CRH17" s="68">
        <f t="shared" si="850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1"/>
        <v>34846</v>
      </c>
      <c r="CRP17" s="68">
        <f t="shared" si="852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3"/>
        <v>28431</v>
      </c>
      <c r="CRX17" s="68">
        <f t="shared" si="854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50"/>
        <v>35954</v>
      </c>
      <c r="CSF17" s="68">
        <f t="shared" si="1251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7"/>
        <v>27927</v>
      </c>
      <c r="CSN17" s="68">
        <f t="shared" si="858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9"/>
        <v>40348</v>
      </c>
      <c r="CSV17" s="68">
        <f t="shared" si="860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1"/>
        <v>33801</v>
      </c>
      <c r="CTD17" s="68">
        <f t="shared" si="862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3"/>
        <v>30260</v>
      </c>
      <c r="CTL17" s="68">
        <f t="shared" si="864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5"/>
        <v>39063</v>
      </c>
      <c r="CTT17" s="68">
        <f t="shared" si="866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7"/>
        <v>23769</v>
      </c>
      <c r="CUB17" s="68">
        <f t="shared" si="868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9"/>
        <v>40896</v>
      </c>
      <c r="CUJ17" s="68">
        <f t="shared" si="870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1"/>
        <v>26213</v>
      </c>
      <c r="CUR17" s="68">
        <f t="shared" si="872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3"/>
        <v>40552</v>
      </c>
      <c r="CUZ17" s="68">
        <f t="shared" si="874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5"/>
        <v>32915</v>
      </c>
      <c r="CVH17" s="68">
        <f t="shared" si="876"/>
        <v>5485.833333333333</v>
      </c>
      <c r="CVI17" s="48">
        <v>0</v>
      </c>
      <c r="CVJ17" s="49">
        <f>SUMIF(SUMPK!$B:$B,$B:$B,SUMPK!$O:$O)</f>
        <v>7732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7"/>
        <v>24419</v>
      </c>
      <c r="CVP17" s="68">
        <f t="shared" si="878"/>
        <v>4069.8333333333335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9"/>
        <v>38927</v>
      </c>
      <c r="CVX17" s="68">
        <f t="shared" si="880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1"/>
        <v>50849</v>
      </c>
      <c r="CWF17" s="68">
        <f t="shared" si="882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3"/>
        <v>54321</v>
      </c>
      <c r="CWN17" s="68">
        <f t="shared" si="884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5"/>
        <v>41945</v>
      </c>
      <c r="CWV17" s="43">
        <f t="shared" si="886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7"/>
        <v>46688</v>
      </c>
      <c r="CXD17" s="43">
        <f t="shared" si="888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9"/>
        <v>52045</v>
      </c>
      <c r="CXL17" s="43">
        <f t="shared" si="890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1"/>
        <v>45332</v>
      </c>
      <c r="CXT17" s="43">
        <f t="shared" si="892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3"/>
        <v>36260</v>
      </c>
      <c r="CYB17" s="43">
        <f t="shared" si="894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5"/>
        <v>41487</v>
      </c>
      <c r="CYJ17" s="43">
        <f t="shared" si="896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7"/>
        <v>40972</v>
      </c>
      <c r="CYR17" s="43">
        <f t="shared" si="898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9"/>
        <v>48265</v>
      </c>
      <c r="CYZ17" s="43">
        <f t="shared" si="900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1"/>
        <v>25434</v>
      </c>
      <c r="CZH17" s="43">
        <f t="shared" si="902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3"/>
        <v>41798</v>
      </c>
      <c r="CZP17" s="43">
        <f t="shared" si="904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5"/>
        <v>37416</v>
      </c>
      <c r="CZX17" s="43">
        <f t="shared" si="906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7"/>
        <v>23289</v>
      </c>
      <c r="DAF17" s="43">
        <f t="shared" si="908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9"/>
        <v>22112</v>
      </c>
      <c r="DAN17" s="43">
        <f t="shared" si="910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1"/>
        <v>28471</v>
      </c>
      <c r="DAV17" s="68">
        <f t="shared" si="912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3"/>
        <v>33358</v>
      </c>
      <c r="DBD17" s="68">
        <f t="shared" si="914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5"/>
        <v>23147</v>
      </c>
      <c r="DBL17" s="68">
        <f t="shared" si="916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7"/>
        <v>41981</v>
      </c>
      <c r="DBT17" s="68">
        <f t="shared" si="918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9"/>
        <v>32483</v>
      </c>
      <c r="DCB17" s="184">
        <f t="shared" si="920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1"/>
        <v>46740</v>
      </c>
      <c r="DCJ17" s="211">
        <f t="shared" si="922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3"/>
        <v>43327</v>
      </c>
      <c r="DCR17" s="211">
        <f t="shared" si="924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5"/>
        <v>28600</v>
      </c>
      <c r="DCZ17" s="184">
        <f t="shared" si="926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7"/>
        <v>41509</v>
      </c>
      <c r="DDH17" s="211">
        <f t="shared" si="928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9"/>
        <v>45141</v>
      </c>
      <c r="DDP17" s="184">
        <f t="shared" si="930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1"/>
        <v>35196</v>
      </c>
      <c r="DDX17" s="211">
        <f t="shared" si="932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3"/>
        <v>40847</v>
      </c>
      <c r="DEF17" s="214">
        <f t="shared" si="934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5"/>
        <v>33360</v>
      </c>
      <c r="DEN17" s="101">
        <f t="shared" si="936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7"/>
        <v>31355</v>
      </c>
      <c r="DEV17" s="101">
        <f t="shared" si="938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9"/>
        <v>34828</v>
      </c>
      <c r="DFD17" s="43">
        <f t="shared" si="940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1"/>
        <v>40203</v>
      </c>
      <c r="DFL17" s="43">
        <f t="shared" si="942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3"/>
        <v>27900</v>
      </c>
      <c r="DFT17" s="43">
        <f t="shared" si="944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5"/>
        <v>37243</v>
      </c>
      <c r="DGB17" s="43">
        <f t="shared" si="946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7"/>
        <v>40159</v>
      </c>
      <c r="DGJ17" s="68">
        <f t="shared" si="948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9"/>
        <v>31517</v>
      </c>
      <c r="DGR17" s="68">
        <f t="shared" si="950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1"/>
        <v>41000</v>
      </c>
      <c r="DGZ17" s="68">
        <f t="shared" si="952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3"/>
        <v>45372</v>
      </c>
      <c r="DHH17" s="68">
        <f t="shared" si="954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5"/>
        <v>32922</v>
      </c>
      <c r="DHP17" s="68">
        <f t="shared" si="956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7"/>
        <v>37163</v>
      </c>
      <c r="DHX17" s="68">
        <f t="shared" si="958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9"/>
        <v>24037</v>
      </c>
      <c r="DIF17" s="68">
        <f t="shared" si="960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1"/>
        <v>26115</v>
      </c>
      <c r="DIN17" s="68">
        <f t="shared" si="962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3"/>
        <v>41183</v>
      </c>
      <c r="DIV17" s="68">
        <f t="shared" si="964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5"/>
        <v>22008</v>
      </c>
      <c r="DJD17" s="68">
        <f t="shared" si="966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7"/>
        <v>40684</v>
      </c>
      <c r="DJL17" s="68">
        <f t="shared" si="968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9"/>
        <v>51597</v>
      </c>
      <c r="DJT17" s="68">
        <f t="shared" si="970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1"/>
        <v>41354</v>
      </c>
      <c r="DKB17" s="68">
        <f t="shared" si="972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3"/>
        <v>49116</v>
      </c>
      <c r="DKJ17" s="68">
        <f t="shared" si="974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5"/>
        <v>35355</v>
      </c>
      <c r="DKR17" s="68">
        <f t="shared" si="976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7"/>
        <v>36163</v>
      </c>
      <c r="DKZ17" s="68">
        <f t="shared" si="978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9"/>
        <v>47709</v>
      </c>
      <c r="DLH17" s="68">
        <f t="shared" si="980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1"/>
        <v>36645</v>
      </c>
      <c r="DLP17" s="68">
        <f t="shared" si="982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3"/>
        <v>36540</v>
      </c>
      <c r="DLX17" s="68">
        <f t="shared" si="984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5"/>
        <v>23401</v>
      </c>
      <c r="DMF17" s="68">
        <f t="shared" si="986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7"/>
        <v>41249</v>
      </c>
      <c r="DMN17" s="68">
        <f t="shared" si="988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9"/>
        <v>45931</v>
      </c>
      <c r="DMV17" s="68">
        <f t="shared" si="990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1"/>
        <v>44973</v>
      </c>
      <c r="DND17" s="68">
        <f t="shared" si="992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3"/>
        <v>34540</v>
      </c>
      <c r="DNL17" s="68">
        <f t="shared" si="994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5"/>
        <v>40550</v>
      </c>
      <c r="DNT17" s="68">
        <f t="shared" si="996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7"/>
        <v>50040</v>
      </c>
      <c r="DOB17" s="68">
        <f t="shared" si="998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9"/>
        <v>50554</v>
      </c>
      <c r="DOJ17" s="68">
        <f t="shared" si="1000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1"/>
        <v>40554</v>
      </c>
      <c r="DOR17" s="68">
        <f t="shared" si="1002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3"/>
        <v>59155</v>
      </c>
      <c r="DOZ17" s="68">
        <f t="shared" si="1004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5"/>
        <v>57281</v>
      </c>
      <c r="DPH17" s="68">
        <f t="shared" si="1006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7"/>
        <v>51225</v>
      </c>
      <c r="DPP17" s="68">
        <f t="shared" si="1008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9"/>
        <v>59285</v>
      </c>
      <c r="DPX17" s="68">
        <f t="shared" si="1010"/>
        <v>9880.8333333333339</v>
      </c>
      <c r="DPY17" s="63">
        <v>10901</v>
      </c>
      <c r="DPZ17" s="64">
        <v>12899</v>
      </c>
      <c r="DQA17" s="64">
        <f>SUMIF(SUMPK!$B:$B,$B:$B,SUMPK!$O:$O)</f>
        <v>7732</v>
      </c>
      <c r="DQB17" s="64">
        <v>13806</v>
      </c>
      <c r="DQC17" s="64">
        <v>11605</v>
      </c>
      <c r="DQD17" s="64">
        <v>6543</v>
      </c>
      <c r="DQE17" s="64">
        <f t="shared" si="1011"/>
        <v>63486</v>
      </c>
      <c r="DQF17" s="68">
        <f t="shared" si="1012"/>
        <v>10581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3"/>
        <v>70706</v>
      </c>
      <c r="DQN17" s="68">
        <f t="shared" si="1014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5"/>
        <v>55499</v>
      </c>
      <c r="DQV17" s="68">
        <f t="shared" si="1016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7"/>
        <v>42932</v>
      </c>
      <c r="DRD17" s="68">
        <f t="shared" si="1018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9"/>
        <v>25460</v>
      </c>
      <c r="DRL17" s="68">
        <f t="shared" si="1020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1"/>
        <v>35949</v>
      </c>
      <c r="DRT17" s="68">
        <f t="shared" si="1022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3"/>
        <v>43749</v>
      </c>
      <c r="DSB17" s="68">
        <f t="shared" si="1024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5"/>
        <v>27905</v>
      </c>
      <c r="DSJ17" s="68">
        <f t="shared" si="1026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7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8"/>
        <v>41149</v>
      </c>
      <c r="DSZ17" s="68">
        <f t="shared" si="1029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30"/>
        <v>29606</v>
      </c>
      <c r="DTH17" s="68">
        <f t="shared" si="1031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2"/>
        <v>31667</v>
      </c>
      <c r="DTP17" s="68">
        <f t="shared" si="1033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4"/>
        <v>41718</v>
      </c>
      <c r="DTX17" s="68">
        <f t="shared" si="1035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6"/>
        <v>33747</v>
      </c>
      <c r="DUF17" s="68">
        <f t="shared" si="1037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8"/>
        <v>46047</v>
      </c>
      <c r="DUN17" s="68">
        <f t="shared" si="1039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40"/>
        <v>40769</v>
      </c>
      <c r="DUV17" s="68">
        <f t="shared" si="1041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2"/>
        <v>19959</v>
      </c>
      <c r="DVD17" s="68">
        <f t="shared" si="1043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4"/>
        <v>25641</v>
      </c>
      <c r="DVL17" s="68">
        <f t="shared" si="1045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6"/>
        <v>38926</v>
      </c>
      <c r="DVT17" s="68">
        <f t="shared" si="1047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8"/>
        <v>9574</v>
      </c>
      <c r="DWB17" s="68">
        <f t="shared" si="1049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50"/>
        <v>24276</v>
      </c>
      <c r="DWJ17" s="68">
        <f t="shared" si="1051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2"/>
        <v>32427</v>
      </c>
      <c r="DWR17" s="68">
        <f t="shared" si="1053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4"/>
        <v>24354</v>
      </c>
      <c r="DWZ17" s="68">
        <f t="shared" si="1055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6"/>
        <v>23168</v>
      </c>
      <c r="DXH17" s="68">
        <f t="shared" si="1057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8"/>
        <v>24128</v>
      </c>
      <c r="DXP17" s="68">
        <f t="shared" si="1059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60"/>
        <v>19784</v>
      </c>
      <c r="DXX17" s="68">
        <f t="shared" si="1061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2"/>
        <v>38889</v>
      </c>
      <c r="DYF17" s="68">
        <f t="shared" si="1063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4"/>
        <v>28462</v>
      </c>
      <c r="DYN17" s="68">
        <f t="shared" si="1065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6"/>
        <v>42333</v>
      </c>
      <c r="DYV17" s="68">
        <f t="shared" si="1067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8"/>
        <v>34364</v>
      </c>
      <c r="DZD17" s="68">
        <f t="shared" si="1069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70"/>
        <v>39249</v>
      </c>
      <c r="DZL17" s="68">
        <f t="shared" si="1071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2"/>
        <v>47947</v>
      </c>
      <c r="DZT17" s="68">
        <f t="shared" si="1073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4"/>
        <v>42553</v>
      </c>
      <c r="EAB17" s="68">
        <f t="shared" si="1075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6"/>
        <v>52615</v>
      </c>
      <c r="EAJ17" s="68">
        <f t="shared" si="1077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8"/>
        <v>50013</v>
      </c>
      <c r="EAR17" s="68">
        <f t="shared" si="1079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80"/>
        <v>41859</v>
      </c>
      <c r="EAZ17" s="68">
        <f t="shared" si="1081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2"/>
        <v>37350</v>
      </c>
      <c r="EBH17" s="68">
        <f t="shared" si="1083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4"/>
        <v>43121</v>
      </c>
      <c r="EBP17" s="68">
        <f t="shared" si="1085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6"/>
        <v>37263</v>
      </c>
      <c r="EBX17" s="68">
        <f t="shared" si="1087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8"/>
        <v>45740</v>
      </c>
      <c r="ECF17" s="68">
        <f t="shared" si="1089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90"/>
        <v>48891</v>
      </c>
      <c r="ECN17" s="68">
        <f t="shared" si="1091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2"/>
        <v>36830</v>
      </c>
      <c r="ECV17" s="68">
        <f t="shared" si="1093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4"/>
        <v>39314</v>
      </c>
      <c r="EDD17" s="68">
        <f t="shared" si="1095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6"/>
        <v>21394</v>
      </c>
      <c r="EDL17" s="68">
        <f t="shared" si="1097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8"/>
        <v>33768</v>
      </c>
      <c r="EDT17" s="68">
        <f t="shared" si="1099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100"/>
        <v>21027</v>
      </c>
      <c r="EEB17" s="68">
        <f t="shared" si="1101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2"/>
        <v>29172</v>
      </c>
      <c r="EEJ17" s="68">
        <f t="shared" si="1103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4"/>
        <v>15003</v>
      </c>
      <c r="EER17" s="68">
        <f t="shared" si="1105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6"/>
        <v>35791</v>
      </c>
      <c r="EEZ17" s="68">
        <f t="shared" si="1107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8"/>
        <v>10818</v>
      </c>
      <c r="EFH17" s="68">
        <f t="shared" si="1109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10"/>
        <v>28819</v>
      </c>
      <c r="EFP17" s="68">
        <f t="shared" si="1111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2"/>
        <v>25388</v>
      </c>
      <c r="EFX17" s="68">
        <f t="shared" si="1113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4"/>
        <v>18094</v>
      </c>
      <c r="EGF17" s="68">
        <f t="shared" si="1115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6"/>
        <v>30580</v>
      </c>
      <c r="EGN17" s="68">
        <f t="shared" si="1117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8"/>
        <v>18461</v>
      </c>
      <c r="EGV17" s="68">
        <f t="shared" si="1119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20"/>
        <v>30933</v>
      </c>
      <c r="EHD17" s="68">
        <f t="shared" si="1121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2"/>
        <v>20831</v>
      </c>
      <c r="EHL17" s="68">
        <f t="shared" si="1123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4"/>
        <v>27826</v>
      </c>
      <c r="EHT17" s="68">
        <f t="shared" si="1125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6"/>
        <v>36297</v>
      </c>
      <c r="EIB17" s="68">
        <f t="shared" si="1127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8"/>
        <v>37066</v>
      </c>
      <c r="EIJ17" s="68">
        <f t="shared" si="1129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30"/>
        <v>27100</v>
      </c>
      <c r="EIR17" s="68">
        <f t="shared" si="1131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2"/>
        <v>21955</v>
      </c>
      <c r="EIZ17" s="68">
        <f t="shared" si="1133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4"/>
        <v>20335</v>
      </c>
      <c r="EJH17" s="68">
        <f t="shared" si="1135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6"/>
        <v>33929</v>
      </c>
      <c r="EJP17" s="68">
        <f t="shared" si="1137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8"/>
        <v>21786</v>
      </c>
      <c r="EJX17" s="68">
        <f t="shared" si="1139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40"/>
        <v>22192</v>
      </c>
      <c r="EKF17" s="68">
        <f t="shared" si="1141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2"/>
        <v>28017</v>
      </c>
      <c r="EKN17" s="68">
        <f t="shared" si="1143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4"/>
        <v>25696</v>
      </c>
      <c r="EKV17" s="68">
        <f t="shared" si="1145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6"/>
        <v>32682</v>
      </c>
      <c r="ELD17" s="68">
        <f t="shared" si="1147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8"/>
        <v>15381</v>
      </c>
      <c r="ELL17" s="184">
        <f t="shared" si="1149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50"/>
        <v>28812</v>
      </c>
      <c r="ELU17" s="211">
        <f t="shared" si="1151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2"/>
        <v>24594</v>
      </c>
      <c r="EMC17" s="211">
        <f t="shared" si="1153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4"/>
        <v>26293</v>
      </c>
      <c r="EMK17" s="211">
        <f t="shared" si="1155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6"/>
        <v>36060</v>
      </c>
      <c r="EMS17" s="211">
        <f t="shared" si="1157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8"/>
        <v>20244</v>
      </c>
      <c r="ENA17" s="211">
        <f t="shared" si="1159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60"/>
        <v>24439</v>
      </c>
      <c r="ENI17" s="211">
        <f t="shared" si="1161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2"/>
        <v>30326</v>
      </c>
      <c r="ENQ17" s="211">
        <f t="shared" si="1163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4"/>
        <v>19943</v>
      </c>
      <c r="ENY17" s="211">
        <f t="shared" si="1165"/>
        <v>3323.8333333333335</v>
      </c>
      <c r="ENZ17" s="244">
        <f>SUMIF(SUMPK!$B:$B,$B:$B,SUMPK!$O:$O)</f>
        <v>7732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6"/>
        <v>27772</v>
      </c>
      <c r="EOG17" s="211">
        <f t="shared" si="1167"/>
        <v>4628.666666666667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8"/>
        <v>24782</v>
      </c>
      <c r="EOO17" s="211">
        <f t="shared" si="1169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70"/>
        <v>18389</v>
      </c>
      <c r="EOW17" s="211">
        <f t="shared" si="1171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2"/>
        <v>27255</v>
      </c>
      <c r="EPE17" s="211">
        <f t="shared" si="1173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4"/>
        <v>28701</v>
      </c>
      <c r="EPM17" s="211">
        <f t="shared" si="1175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6"/>
        <v>26639</v>
      </c>
      <c r="EPU17" s="211">
        <f t="shared" si="1177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8"/>
        <v>44000</v>
      </c>
      <c r="EQC17" s="211">
        <f t="shared" si="1179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80"/>
        <v>24642</v>
      </c>
      <c r="EQK17" s="211">
        <f t="shared" si="1181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2"/>
        <v>24473</v>
      </c>
      <c r="EQS17" s="211">
        <f t="shared" si="1183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4"/>
        <v>25280</v>
      </c>
      <c r="ERA17" s="211">
        <f t="shared" si="1185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6"/>
        <v>28862</v>
      </c>
      <c r="ERI17" s="211">
        <f t="shared" si="1187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8"/>
        <v>36591</v>
      </c>
      <c r="ERQ17" s="211">
        <f t="shared" si="1189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90"/>
        <v>33630</v>
      </c>
      <c r="ERY17" s="211">
        <f t="shared" si="1191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2"/>
        <v>42387</v>
      </c>
      <c r="ESG17" s="211">
        <f t="shared" si="1193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4"/>
        <v>28979</v>
      </c>
      <c r="ESO17" s="211">
        <f t="shared" si="1195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6"/>
        <v>32853</v>
      </c>
      <c r="ESW17" s="211">
        <f t="shared" si="1197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8"/>
        <v>36865</v>
      </c>
      <c r="ETE17" s="736">
        <f t="shared" si="1199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200"/>
        <v>29749</v>
      </c>
      <c r="ETM17" s="211">
        <f t="shared" si="1201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2"/>
        <v>37212</v>
      </c>
      <c r="ETU17" s="211">
        <f t="shared" si="1203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4"/>
        <v>42100</v>
      </c>
      <c r="EUC17" s="211">
        <f t="shared" si="1205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6"/>
        <v>44207</v>
      </c>
      <c r="EUK17" s="211">
        <f t="shared" si="1207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8"/>
        <v>22862</v>
      </c>
      <c r="EUS17" s="211">
        <f t="shared" si="1209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10"/>
        <v>39021</v>
      </c>
      <c r="EVA17" s="211">
        <f t="shared" si="1211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2"/>
        <v>36034</v>
      </c>
      <c r="EVI17" s="211">
        <f t="shared" si="1213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4"/>
        <v>26224</v>
      </c>
      <c r="EVQ17" s="211">
        <f t="shared" si="1215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6"/>
        <v>23543</v>
      </c>
      <c r="EVY17" s="211">
        <f t="shared" si="1217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8"/>
        <v>36255</v>
      </c>
      <c r="EWG17" s="211">
        <f t="shared" si="1219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20"/>
        <v>26713</v>
      </c>
      <c r="EWO17" s="211">
        <f t="shared" si="1221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2"/>
        <v>44763</v>
      </c>
      <c r="EWW17" s="211">
        <f t="shared" si="1223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4"/>
        <v>30146</v>
      </c>
      <c r="EXE17" s="211">
        <f t="shared" si="1225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6"/>
        <v>29857</v>
      </c>
      <c r="EXM17" s="211">
        <f t="shared" si="1227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8"/>
        <v>23608</v>
      </c>
      <c r="EXU17" s="211">
        <f t="shared" si="1229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30"/>
        <v>30120</v>
      </c>
      <c r="EYC17" s="211">
        <f t="shared" si="1231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2"/>
        <v>34950</v>
      </c>
      <c r="EYK17" s="211">
        <f t="shared" si="1233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4"/>
        <v>22772</v>
      </c>
      <c r="EYS17" s="211">
        <f t="shared" si="1235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6"/>
        <v>36857</v>
      </c>
      <c r="EZA17" s="211">
        <f t="shared" si="1237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8"/>
        <v>30906</v>
      </c>
      <c r="EZI17" s="211">
        <f t="shared" si="1239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40"/>
        <v>37224</v>
      </c>
      <c r="EZQ17" s="873">
        <f t="shared" si="1241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2"/>
        <v>35415</v>
      </c>
      <c r="EZY17" s="873">
        <f t="shared" si="1243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4"/>
        <v>39508</v>
      </c>
      <c r="FAG17" s="873">
        <f t="shared" si="1245"/>
        <v>6584.666666666667</v>
      </c>
      <c r="FAH17" s="195">
        <v>6807</v>
      </c>
      <c r="FAI17" s="49">
        <v>6040</v>
      </c>
      <c r="FAJ17" s="49">
        <v>9851</v>
      </c>
      <c r="FAK17" s="49">
        <v>12215</v>
      </c>
      <c r="FAL17" s="49">
        <v>12161</v>
      </c>
      <c r="FAM17" s="49">
        <v>3547</v>
      </c>
      <c r="FAN17" s="872">
        <f t="shared" si="1246"/>
        <v>50621</v>
      </c>
      <c r="FAO17" s="873">
        <f t="shared" si="1247"/>
        <v>8436.8333333333339</v>
      </c>
      <c r="FAP17" s="195">
        <v>2004</v>
      </c>
      <c r="FAQ17" s="49">
        <v>3489</v>
      </c>
      <c r="FAR17" s="49"/>
      <c r="FAS17" s="49"/>
      <c r="FAT17" s="49"/>
      <c r="FAU17" s="49"/>
      <c r="FAV17" s="872">
        <f t="shared" si="1248"/>
        <v>5493</v>
      </c>
      <c r="FAW17" s="873">
        <f t="shared" si="1249"/>
        <v>915.5</v>
      </c>
    </row>
    <row r="18" spans="1:4105" ht="15" customHeight="1" x14ac:dyDescent="0.2">
      <c r="A18" s="21">
        <v>12</v>
      </c>
      <c r="B18" s="21" t="s">
        <v>520</v>
      </c>
      <c r="C18" s="275" t="s">
        <v>513</v>
      </c>
      <c r="D18" s="21">
        <v>50</v>
      </c>
      <c r="E18" s="24"/>
      <c r="F18" s="24">
        <v>9725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9725</v>
      </c>
      <c r="M18" s="24">
        <f t="shared" ref="M18" si="1258">K18+L18</f>
        <v>9725</v>
      </c>
      <c r="N18" s="15">
        <v>0</v>
      </c>
      <c r="O18" s="276">
        <f t="shared" si="0"/>
        <v>0</v>
      </c>
      <c r="P18" s="15">
        <v>0</v>
      </c>
      <c r="Q18" s="276">
        <f t="shared" si="571"/>
        <v>0</v>
      </c>
      <c r="R18" s="277">
        <f t="shared" si="572"/>
        <v>684.61538461538464</v>
      </c>
      <c r="S18" s="222">
        <v>17800</v>
      </c>
      <c r="T18" s="276">
        <f t="shared" si="573"/>
        <v>14.20505617977528</v>
      </c>
      <c r="U18" s="278"/>
      <c r="V18" s="277">
        <f t="shared" si="1"/>
        <v>14.20505617977528</v>
      </c>
      <c r="W18" s="279">
        <f t="shared" si="1252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40"/>
        <v>0</v>
      </c>
      <c r="EZQ18" s="873">
        <f t="shared" si="1241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2"/>
        <v>0</v>
      </c>
      <c r="EZY18" s="873">
        <f t="shared" si="1243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4"/>
        <v>0</v>
      </c>
      <c r="FAG18" s="873">
        <f t="shared" si="1245"/>
        <v>0</v>
      </c>
      <c r="FAH18" s="195">
        <v>0</v>
      </c>
      <c r="FAI18" s="49">
        <v>0</v>
      </c>
      <c r="FAJ18" s="49">
        <v>0</v>
      </c>
      <c r="FAK18" s="49">
        <v>0</v>
      </c>
      <c r="FAL18" s="49">
        <v>0</v>
      </c>
      <c r="FAM18" s="49">
        <v>0</v>
      </c>
      <c r="FAN18" s="872">
        <f t="shared" si="1246"/>
        <v>0</v>
      </c>
      <c r="FAO18" s="873">
        <f t="shared" si="1247"/>
        <v>0</v>
      </c>
      <c r="FAP18" s="195">
        <v>0</v>
      </c>
      <c r="FAQ18" s="49">
        <v>847</v>
      </c>
      <c r="FAR18" s="49"/>
      <c r="FAS18" s="49"/>
      <c r="FAT18" s="49"/>
      <c r="FAU18" s="49"/>
      <c r="FAV18" s="872">
        <f t="shared" si="1248"/>
        <v>847</v>
      </c>
      <c r="FAW18" s="873">
        <f t="shared" si="1249"/>
        <v>141.16666666666666</v>
      </c>
    </row>
    <row r="19" spans="1:4105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23099</v>
      </c>
      <c r="G19" s="24"/>
      <c r="H19" s="24">
        <v>11354</v>
      </c>
      <c r="I19" s="24"/>
      <c r="J19" s="360">
        <f>SUMIF(SUMPK!$B:$B,$B:$B,SUMPK!$O:$O)</f>
        <v>4459</v>
      </c>
      <c r="K19" s="24"/>
      <c r="L19" s="24">
        <f t="shared" si="569"/>
        <v>29994</v>
      </c>
      <c r="M19" s="24">
        <f t="shared" si="570"/>
        <v>29994</v>
      </c>
      <c r="N19" s="15">
        <v>7588.666666666667</v>
      </c>
      <c r="O19" s="276">
        <f t="shared" si="0"/>
        <v>3.9524729860318017</v>
      </c>
      <c r="P19" s="15">
        <v>6818.333333333333</v>
      </c>
      <c r="Q19" s="276">
        <f t="shared" si="571"/>
        <v>26.394133463700804</v>
      </c>
      <c r="R19" s="277">
        <f t="shared" si="572"/>
        <v>4876.9230769230771</v>
      </c>
      <c r="S19" s="222">
        <v>126800</v>
      </c>
      <c r="T19" s="276">
        <f t="shared" si="573"/>
        <v>6.1501892744479489</v>
      </c>
      <c r="U19" s="278"/>
      <c r="V19" s="277">
        <f t="shared" si="1"/>
        <v>6.1501892744479489</v>
      </c>
      <c r="W19" s="279">
        <f t="shared" si="1252"/>
        <v>1</v>
      </c>
      <c r="X19" s="299"/>
      <c r="Y19" s="280" t="e">
        <f>#REF!+#REF!</f>
        <v>#REF!</v>
      </c>
      <c r="Z19" s="280" t="e">
        <f t="shared" si="1257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4"/>
        <v>24470</v>
      </c>
      <c r="BAV19" s="43">
        <f t="shared" si="575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6"/>
        <v>13245</v>
      </c>
      <c r="BBD19" s="43">
        <f t="shared" si="577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8"/>
        <v>16772</v>
      </c>
      <c r="BBL19" s="43">
        <f t="shared" si="579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80"/>
        <v>16403</v>
      </c>
      <c r="BBT19" s="43">
        <f t="shared" si="581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2"/>
        <v>29601</v>
      </c>
      <c r="BCB19" s="43">
        <f t="shared" si="583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4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5"/>
        <v>27305</v>
      </c>
      <c r="BCR19" s="43">
        <f t="shared" si="586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7"/>
        <v>15490</v>
      </c>
      <c r="BCZ19" s="43">
        <f t="shared" si="588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9"/>
        <v>28927</v>
      </c>
      <c r="BDH19" s="43">
        <f t="shared" si="590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1"/>
        <v>14090</v>
      </c>
      <c r="BDP19" s="43">
        <f t="shared" si="592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3"/>
        <v>23318</v>
      </c>
      <c r="BDX19" s="43">
        <f t="shared" si="594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5"/>
        <v>27395</v>
      </c>
      <c r="BEF19" s="43">
        <f t="shared" si="596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7"/>
        <v>16784</v>
      </c>
      <c r="BEN19" s="43">
        <f t="shared" si="598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9"/>
        <v>18999</v>
      </c>
      <c r="BEV19" s="43">
        <f t="shared" si="600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1"/>
        <v>20186</v>
      </c>
      <c r="BFD19" s="43">
        <f t="shared" si="602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3"/>
        <v>27121</v>
      </c>
      <c r="BFL19" s="68">
        <f t="shared" si="604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5"/>
        <v>15380</v>
      </c>
      <c r="BFT19" s="68">
        <f t="shared" si="606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7"/>
        <v>28129</v>
      </c>
      <c r="BGB19" s="68">
        <f t="shared" si="608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9"/>
        <v>25118</v>
      </c>
      <c r="BGJ19" s="68">
        <f t="shared" si="610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1"/>
        <v>22471</v>
      </c>
      <c r="BGR19" s="68">
        <f t="shared" si="612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3"/>
        <v>25328</v>
      </c>
      <c r="BGZ19" s="68">
        <f t="shared" si="614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5"/>
        <v>13371</v>
      </c>
      <c r="BHH19" s="68">
        <f t="shared" si="616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7"/>
        <v>11060</v>
      </c>
      <c r="BHP19" s="184">
        <f t="shared" si="618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9"/>
        <v>38444</v>
      </c>
      <c r="BHX19" s="211">
        <f t="shared" si="620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1"/>
        <v>21223</v>
      </c>
      <c r="BIF19" s="184">
        <f t="shared" si="622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3"/>
        <v>6488</v>
      </c>
      <c r="BIN19" s="184">
        <f t="shared" si="624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5"/>
        <v>18075</v>
      </c>
      <c r="BIV19" s="211">
        <f t="shared" si="626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7"/>
        <v>36464</v>
      </c>
      <c r="BJD19" s="211">
        <f t="shared" si="628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9"/>
        <v>9099</v>
      </c>
      <c r="BJL19" s="211">
        <f t="shared" si="630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1"/>
        <v>15920</v>
      </c>
      <c r="BJT19" s="184">
        <f t="shared" si="632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3"/>
        <v>17732</v>
      </c>
      <c r="BKB19" s="184">
        <f t="shared" si="634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5"/>
        <v>26004</v>
      </c>
      <c r="BKJ19" s="184">
        <f t="shared" si="636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7"/>
        <v>4930</v>
      </c>
      <c r="BKR19" s="184">
        <f t="shared" si="638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9"/>
        <v>18468</v>
      </c>
      <c r="BKZ19" s="211">
        <f t="shared" si="640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1"/>
        <v>25295</v>
      </c>
      <c r="BLH19" s="211">
        <f t="shared" si="642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3"/>
        <v>8981</v>
      </c>
      <c r="BLP19" s="184">
        <f t="shared" si="644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5"/>
        <v>18566</v>
      </c>
      <c r="BLX19" s="184">
        <f t="shared" si="646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7"/>
        <v>18403</v>
      </c>
      <c r="BMF19" s="68">
        <f t="shared" si="648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9"/>
        <v>17711</v>
      </c>
      <c r="BMN19" s="68">
        <f t="shared" si="650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1"/>
        <v>27968</v>
      </c>
      <c r="BMV19" s="68">
        <f t="shared" si="652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3"/>
        <v>30982</v>
      </c>
      <c r="BND19" s="68">
        <f t="shared" si="654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5"/>
        <v>20418</v>
      </c>
      <c r="BNL19" s="68">
        <f t="shared" si="656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7"/>
        <v>18735</v>
      </c>
      <c r="BNT19" s="68">
        <f t="shared" si="658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9"/>
        <v>26288</v>
      </c>
      <c r="BOB19" s="184">
        <f t="shared" si="660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1"/>
        <v>16616</v>
      </c>
      <c r="BOJ19" s="184">
        <f t="shared" si="662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3"/>
        <v>31174</v>
      </c>
      <c r="BOR19" s="68">
        <f t="shared" si="664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5"/>
        <v>22392</v>
      </c>
      <c r="BOZ19" s="68">
        <f t="shared" si="666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7"/>
        <v>32385</v>
      </c>
      <c r="BPH19" s="68">
        <f t="shared" si="668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9"/>
        <v>33349</v>
      </c>
      <c r="BPP19" s="68">
        <f t="shared" si="670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1"/>
        <v>28826</v>
      </c>
      <c r="BPX19" s="68">
        <f t="shared" si="672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3"/>
        <v>22706</v>
      </c>
      <c r="BQF19" s="68">
        <f t="shared" si="674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5"/>
        <v>39181</v>
      </c>
      <c r="BQN19" s="68">
        <f t="shared" si="676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7"/>
        <v>32277</v>
      </c>
      <c r="BQV19" s="68">
        <f t="shared" si="678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9"/>
        <v>25185</v>
      </c>
      <c r="BRD19" s="68">
        <f t="shared" si="680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1"/>
        <v>25817</v>
      </c>
      <c r="BRL19" s="68">
        <f t="shared" si="682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3"/>
        <v>29666</v>
      </c>
      <c r="BRT19" s="68">
        <f t="shared" si="684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5"/>
        <v>36002</v>
      </c>
      <c r="BSB19" s="68">
        <f t="shared" si="686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7"/>
        <v>16234</v>
      </c>
      <c r="BSJ19" s="68">
        <f t="shared" si="688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9"/>
        <v>24893</v>
      </c>
      <c r="BSR19" s="68">
        <f t="shared" si="690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1"/>
        <v>12563</v>
      </c>
      <c r="BSZ19" s="68">
        <f t="shared" si="692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3"/>
        <v>35599</v>
      </c>
      <c r="BTH19" s="68">
        <f t="shared" si="694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5"/>
        <v>27549</v>
      </c>
      <c r="BTP19" s="68">
        <f t="shared" si="696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7"/>
        <v>23875</v>
      </c>
      <c r="BTX19" s="184">
        <f t="shared" si="698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9"/>
        <v>27543</v>
      </c>
      <c r="BUF19" s="184">
        <f t="shared" si="700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1"/>
        <v>27136</v>
      </c>
      <c r="BUN19" s="211">
        <f t="shared" si="702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3"/>
        <v>30055</v>
      </c>
      <c r="BUV19" s="211">
        <f t="shared" si="704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5"/>
        <v>26988</v>
      </c>
      <c r="BVD19" s="211">
        <f t="shared" si="706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7"/>
        <v>37213</v>
      </c>
      <c r="BVL19" s="184">
        <f t="shared" si="708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9"/>
        <v>24932</v>
      </c>
      <c r="BVT19" s="211">
        <f t="shared" si="710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1"/>
        <v>18270</v>
      </c>
      <c r="BWB19" s="184">
        <f t="shared" si="712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3"/>
        <v>31582</v>
      </c>
      <c r="BWJ19" s="184">
        <f t="shared" si="714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5"/>
        <v>8539</v>
      </c>
      <c r="BWR19" s="211">
        <f t="shared" si="716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7"/>
        <v>29437</v>
      </c>
      <c r="BWZ19" s="211">
        <f t="shared" si="718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9"/>
        <v>32066</v>
      </c>
      <c r="BXH19" s="211">
        <f t="shared" si="720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1"/>
        <v>27820</v>
      </c>
      <c r="BXP19" s="184">
        <f t="shared" si="722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3"/>
        <v>25313</v>
      </c>
      <c r="BXX19" s="184">
        <f t="shared" si="724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5"/>
        <v>30263</v>
      </c>
      <c r="BYF19" s="211">
        <f t="shared" si="726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7"/>
        <v>6687</v>
      </c>
      <c r="BYN19" s="184">
        <f t="shared" si="728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9"/>
        <v>34266</v>
      </c>
      <c r="BYV19" s="211">
        <f t="shared" si="730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1"/>
        <v>30417</v>
      </c>
      <c r="BZD19" s="184">
        <f t="shared" si="732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3"/>
        <v>29297</v>
      </c>
      <c r="BZL19" s="184">
        <f t="shared" si="734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5"/>
        <v>33458</v>
      </c>
      <c r="BZT19" s="68">
        <f t="shared" si="736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7"/>
        <v>9009</v>
      </c>
      <c r="CAB19" s="68">
        <f t="shared" si="738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9"/>
        <v>28320</v>
      </c>
      <c r="CAJ19" s="68">
        <f t="shared" si="740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1"/>
        <v>29010</v>
      </c>
      <c r="CAR19" s="184">
        <f t="shared" si="742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3"/>
        <v>32477</v>
      </c>
      <c r="CAZ19" s="211">
        <f t="shared" si="744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5"/>
        <v>25773</v>
      </c>
      <c r="CBH19" s="211">
        <f t="shared" si="746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7"/>
        <v>31764</v>
      </c>
      <c r="CBP19" s="184">
        <f t="shared" si="748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9"/>
        <v>25504</v>
      </c>
      <c r="CBX19" s="68">
        <f t="shared" si="750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1"/>
        <v>40496</v>
      </c>
      <c r="CCF19" s="68">
        <f t="shared" si="752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3"/>
        <v>25310</v>
      </c>
      <c r="CCN19" s="68">
        <f t="shared" si="754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5"/>
        <v>40020</v>
      </c>
      <c r="CCV19" s="68">
        <f t="shared" si="756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7"/>
        <v>30428</v>
      </c>
      <c r="CDD19" s="68">
        <f t="shared" si="758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9"/>
        <v>26745</v>
      </c>
      <c r="CDL19" s="68">
        <f t="shared" si="760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1"/>
        <v>36033</v>
      </c>
      <c r="CDT19" s="68">
        <f t="shared" si="762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3"/>
        <v>18743</v>
      </c>
      <c r="CEB19" s="68">
        <f t="shared" si="764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5"/>
        <v>26862</v>
      </c>
      <c r="CEJ19" s="68">
        <f t="shared" si="766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7"/>
        <v>27907</v>
      </c>
      <c r="CER19" s="68">
        <f t="shared" si="768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9"/>
        <v>23626</v>
      </c>
      <c r="CEZ19" s="68">
        <f t="shared" si="770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1"/>
        <v>25478</v>
      </c>
      <c r="CFH19" s="68">
        <f t="shared" si="772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3"/>
        <v>22130</v>
      </c>
      <c r="CFP19" s="68">
        <f t="shared" si="774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5"/>
        <v>29852</v>
      </c>
      <c r="CFX19" s="68">
        <f t="shared" si="776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7"/>
        <v>31148</v>
      </c>
      <c r="CGF19" s="68">
        <f t="shared" si="778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9"/>
        <v>21192</v>
      </c>
      <c r="CGN19" s="68">
        <f t="shared" si="780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1"/>
        <v>32988</v>
      </c>
      <c r="CGV19" s="68">
        <f t="shared" si="782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3"/>
        <v>27987</v>
      </c>
      <c r="CHD19" s="68">
        <f t="shared" si="784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5"/>
        <v>37067</v>
      </c>
      <c r="CHL19" s="68">
        <f t="shared" si="786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7"/>
        <v>35769</v>
      </c>
      <c r="CHT19" s="68">
        <f t="shared" si="788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9"/>
        <v>43748</v>
      </c>
      <c r="CIB19" s="68">
        <f t="shared" si="790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1"/>
        <v>28870</v>
      </c>
      <c r="CIJ19" s="68">
        <f t="shared" si="792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3"/>
        <v>49068</v>
      </c>
      <c r="CIR19" s="68">
        <f t="shared" si="794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5"/>
        <v>34374</v>
      </c>
      <c r="CIZ19" s="68">
        <f t="shared" si="796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7"/>
        <v>28065</v>
      </c>
      <c r="CJH19" s="68">
        <f t="shared" si="798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9"/>
        <v>21005</v>
      </c>
      <c r="CJP19" s="68">
        <f t="shared" si="800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1"/>
        <v>25920</v>
      </c>
      <c r="CJX19" s="68">
        <f t="shared" si="802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3"/>
        <v>35838</v>
      </c>
      <c r="CKF19" s="68">
        <f t="shared" si="804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5"/>
        <v>30474</v>
      </c>
      <c r="CKN19" s="68">
        <f t="shared" si="806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7"/>
        <v>20775</v>
      </c>
      <c r="CKV19" s="68">
        <f t="shared" si="808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9"/>
        <v>30713</v>
      </c>
      <c r="CLD19" s="68">
        <f t="shared" si="810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1"/>
        <v>32107</v>
      </c>
      <c r="CLL19" s="68">
        <f t="shared" si="812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3"/>
        <v>41469</v>
      </c>
      <c r="CLT19" s="184">
        <f t="shared" si="814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5"/>
        <v>25103</v>
      </c>
      <c r="CMB19" s="68">
        <f t="shared" si="816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7"/>
        <v>25041</v>
      </c>
      <c r="CMJ19" s="68">
        <f t="shared" si="818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9"/>
        <v>35799</v>
      </c>
      <c r="CMR19" s="68">
        <f t="shared" si="820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1"/>
        <v>23647</v>
      </c>
      <c r="CMZ19" s="68">
        <f t="shared" si="822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3"/>
        <v>36654</v>
      </c>
      <c r="CNH19" s="68">
        <f t="shared" si="824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5"/>
        <v>35034</v>
      </c>
      <c r="CNP19" s="68">
        <f t="shared" si="826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7"/>
        <v>27027</v>
      </c>
      <c r="CNX19" s="68">
        <f t="shared" si="828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9"/>
        <v>31113</v>
      </c>
      <c r="COF19" s="68">
        <f t="shared" si="830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1"/>
        <v>29248</v>
      </c>
      <c r="CON19" s="68">
        <f t="shared" si="832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3"/>
        <v>37466</v>
      </c>
      <c r="COV19" s="68">
        <f t="shared" si="834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5"/>
        <v>25613</v>
      </c>
      <c r="CPD19" s="68">
        <f t="shared" si="836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7"/>
        <v>28352</v>
      </c>
      <c r="CPL19" s="68">
        <f t="shared" si="838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9"/>
        <v>15515</v>
      </c>
      <c r="CPT19" s="68">
        <f t="shared" si="840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1"/>
        <v>20395</v>
      </c>
      <c r="CQB19" s="68">
        <f t="shared" si="842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3"/>
        <v>25943</v>
      </c>
      <c r="CQJ19" s="68">
        <f t="shared" si="844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5"/>
        <v>32773</v>
      </c>
      <c r="CQR19" s="68">
        <f t="shared" si="846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4459</v>
      </c>
      <c r="CQX19" s="49">
        <v>1747</v>
      </c>
      <c r="CQY19" s="67">
        <f t="shared" si="847"/>
        <v>25154</v>
      </c>
      <c r="CQZ19" s="68">
        <f t="shared" si="848"/>
        <v>4192.333333333333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9"/>
        <v>33385</v>
      </c>
      <c r="CRH19" s="68">
        <f t="shared" si="850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1"/>
        <v>24404</v>
      </c>
      <c r="CRP19" s="68">
        <f t="shared" si="852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3"/>
        <v>31476</v>
      </c>
      <c r="CRX19" s="68">
        <f t="shared" si="854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50"/>
        <v>29131</v>
      </c>
      <c r="CSF19" s="68">
        <f t="shared" si="1251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7"/>
        <v>33113</v>
      </c>
      <c r="CSN19" s="68">
        <f t="shared" si="858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9"/>
        <v>28867</v>
      </c>
      <c r="CSV19" s="68">
        <f t="shared" si="860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1"/>
        <v>25461</v>
      </c>
      <c r="CTD19" s="68">
        <f t="shared" si="862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3"/>
        <v>28285</v>
      </c>
      <c r="CTL19" s="68">
        <f t="shared" si="864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5"/>
        <v>26377</v>
      </c>
      <c r="CTT19" s="68">
        <f t="shared" si="866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7"/>
        <v>24911</v>
      </c>
      <c r="CUB19" s="68">
        <f t="shared" si="868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9"/>
        <v>41546</v>
      </c>
      <c r="CUJ19" s="68">
        <f t="shared" si="870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1"/>
        <v>27242</v>
      </c>
      <c r="CUR19" s="68">
        <f t="shared" si="872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3"/>
        <v>33498</v>
      </c>
      <c r="CUZ19" s="68">
        <f t="shared" si="874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5"/>
        <v>22094</v>
      </c>
      <c r="CVH19" s="68">
        <f t="shared" si="876"/>
        <v>3682.3333333333335</v>
      </c>
      <c r="CVI19" s="48">
        <v>11040</v>
      </c>
      <c r="CVJ19" s="49">
        <f>SUMIF(SUMPK!$B:$B,$B:$B,SUMPK!$O:$O)</f>
        <v>4459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7"/>
        <v>29919</v>
      </c>
      <c r="CVP19" s="68">
        <f t="shared" si="878"/>
        <v>4986.5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9"/>
        <v>34367</v>
      </c>
      <c r="CVX19" s="68">
        <f t="shared" si="880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1"/>
        <v>42109</v>
      </c>
      <c r="CWF19" s="68">
        <f t="shared" si="882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3"/>
        <v>7951</v>
      </c>
      <c r="CWN19" s="68">
        <f t="shared" si="884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5"/>
        <v>48045</v>
      </c>
      <c r="CWV19" s="43">
        <f t="shared" si="886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7"/>
        <v>22285</v>
      </c>
      <c r="CXD19" s="43">
        <f t="shared" si="888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9"/>
        <v>14816</v>
      </c>
      <c r="CXL19" s="43">
        <f t="shared" si="890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1"/>
        <v>21330</v>
      </c>
      <c r="CXT19" s="43">
        <f t="shared" si="892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3"/>
        <v>26383</v>
      </c>
      <c r="CYB19" s="43">
        <f t="shared" si="894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5"/>
        <v>21321</v>
      </c>
      <c r="CYJ19" s="43">
        <f t="shared" si="896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7"/>
        <v>30332</v>
      </c>
      <c r="CYR19" s="43">
        <f t="shared" si="898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9"/>
        <v>23344</v>
      </c>
      <c r="CYZ19" s="43">
        <f t="shared" si="900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1"/>
        <v>31898</v>
      </c>
      <c r="CZH19" s="43">
        <f t="shared" si="902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3"/>
        <v>30063</v>
      </c>
      <c r="CZP19" s="43">
        <f t="shared" si="904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5"/>
        <v>26044</v>
      </c>
      <c r="CZX19" s="43">
        <f t="shared" si="906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7"/>
        <v>18198</v>
      </c>
      <c r="DAF19" s="43">
        <f t="shared" si="908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9"/>
        <v>32617</v>
      </c>
      <c r="DAN19" s="43">
        <f t="shared" si="910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1"/>
        <v>22496</v>
      </c>
      <c r="DAV19" s="68">
        <f t="shared" si="912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3"/>
        <v>30529</v>
      </c>
      <c r="DBD19" s="68">
        <f t="shared" si="914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5"/>
        <v>29580</v>
      </c>
      <c r="DBL19" s="68">
        <f t="shared" si="916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7"/>
        <v>36410</v>
      </c>
      <c r="DBT19" s="68">
        <f t="shared" si="918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9"/>
        <v>34434</v>
      </c>
      <c r="DCB19" s="184">
        <f t="shared" si="920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1"/>
        <v>29398</v>
      </c>
      <c r="DCJ19" s="211">
        <f t="shared" si="922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3"/>
        <v>35197</v>
      </c>
      <c r="DCR19" s="211">
        <f t="shared" si="924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5"/>
        <v>35194</v>
      </c>
      <c r="DCZ19" s="184">
        <f t="shared" si="926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7"/>
        <v>37251</v>
      </c>
      <c r="DDH19" s="211">
        <f t="shared" si="928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9"/>
        <v>46024</v>
      </c>
      <c r="DDP19" s="184">
        <f t="shared" si="930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1"/>
        <v>38106</v>
      </c>
      <c r="DDX19" s="211">
        <f t="shared" si="932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3"/>
        <v>24706</v>
      </c>
      <c r="DEF19" s="214">
        <f t="shared" si="934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5"/>
        <v>26143</v>
      </c>
      <c r="DEN19" s="101">
        <f t="shared" si="936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7"/>
        <v>36759</v>
      </c>
      <c r="DEV19" s="101">
        <f t="shared" si="938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9"/>
        <v>40110</v>
      </c>
      <c r="DFD19" s="43">
        <f t="shared" si="940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1"/>
        <v>37138</v>
      </c>
      <c r="DFL19" s="43">
        <f t="shared" si="942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3"/>
        <v>28625</v>
      </c>
      <c r="DFT19" s="43">
        <f t="shared" si="944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5"/>
        <v>32318</v>
      </c>
      <c r="DGB19" s="43">
        <f t="shared" si="946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7"/>
        <v>30452</v>
      </c>
      <c r="DGJ19" s="68">
        <f t="shared" si="948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9"/>
        <v>34229</v>
      </c>
      <c r="DGR19" s="68">
        <f t="shared" si="950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1"/>
        <v>23190</v>
      </c>
      <c r="DGZ19" s="68">
        <f t="shared" si="952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3"/>
        <v>29639</v>
      </c>
      <c r="DHH19" s="68">
        <f t="shared" si="954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5"/>
        <v>29236</v>
      </c>
      <c r="DHP19" s="68">
        <f t="shared" si="956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7"/>
        <v>30446</v>
      </c>
      <c r="DHX19" s="68">
        <f t="shared" si="958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9"/>
        <v>27797</v>
      </c>
      <c r="DIF19" s="68">
        <f t="shared" si="960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1"/>
        <v>37552</v>
      </c>
      <c r="DIN19" s="68">
        <f t="shared" si="962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3"/>
        <v>28528</v>
      </c>
      <c r="DIV19" s="68">
        <f t="shared" si="964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5"/>
        <v>25926</v>
      </c>
      <c r="DJD19" s="68">
        <f t="shared" si="966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7"/>
        <v>35835</v>
      </c>
      <c r="DJL19" s="68">
        <f t="shared" si="968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9"/>
        <v>24014</v>
      </c>
      <c r="DJT19" s="68">
        <f t="shared" si="970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1"/>
        <v>48594</v>
      </c>
      <c r="DKB19" s="68">
        <f t="shared" si="972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3"/>
        <v>33593</v>
      </c>
      <c r="DKJ19" s="68">
        <f t="shared" si="974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5"/>
        <v>29585</v>
      </c>
      <c r="DKR19" s="68">
        <f t="shared" si="976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7"/>
        <v>26908</v>
      </c>
      <c r="DKZ19" s="68">
        <f t="shared" si="978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9"/>
        <v>33643</v>
      </c>
      <c r="DLH19" s="68">
        <f t="shared" si="980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1"/>
        <v>34712</v>
      </c>
      <c r="DLP19" s="68">
        <f t="shared" si="982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3"/>
        <v>31640</v>
      </c>
      <c r="DLX19" s="68">
        <f t="shared" si="984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5"/>
        <v>40199</v>
      </c>
      <c r="DMF19" s="68">
        <f t="shared" si="986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7"/>
        <v>22829</v>
      </c>
      <c r="DMN19" s="68">
        <f t="shared" si="988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9"/>
        <v>34659</v>
      </c>
      <c r="DMV19" s="68">
        <f t="shared" si="990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1"/>
        <v>40907</v>
      </c>
      <c r="DND19" s="68">
        <f t="shared" si="992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3"/>
        <v>42254</v>
      </c>
      <c r="DNL19" s="68">
        <f t="shared" si="994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5"/>
        <v>48834</v>
      </c>
      <c r="DNT19" s="68">
        <f t="shared" si="996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7"/>
        <v>39620</v>
      </c>
      <c r="DOB19" s="68">
        <f t="shared" si="998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9"/>
        <v>37266</v>
      </c>
      <c r="DOJ19" s="68">
        <f t="shared" si="1000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1"/>
        <v>32614</v>
      </c>
      <c r="DOR19" s="68">
        <f t="shared" si="1002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3"/>
        <v>29143</v>
      </c>
      <c r="DOZ19" s="68">
        <f t="shared" si="1004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5"/>
        <v>47461</v>
      </c>
      <c r="DPH19" s="68">
        <f t="shared" si="1006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7"/>
        <v>39987</v>
      </c>
      <c r="DPP19" s="68">
        <f t="shared" si="1008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9"/>
        <v>30813</v>
      </c>
      <c r="DPX19" s="68">
        <f t="shared" si="1010"/>
        <v>5135.5</v>
      </c>
      <c r="DPY19" s="63">
        <v>3791</v>
      </c>
      <c r="DPZ19" s="64">
        <v>9928</v>
      </c>
      <c r="DQA19" s="64">
        <f>SUMIF(SUMPK!$B:$B,$B:$B,SUMPK!$O:$O)</f>
        <v>4459</v>
      </c>
      <c r="DQB19" s="64">
        <v>8279</v>
      </c>
      <c r="DQC19" s="64">
        <v>5946</v>
      </c>
      <c r="DQD19" s="64">
        <v>3847</v>
      </c>
      <c r="DQE19" s="64">
        <f t="shared" si="1011"/>
        <v>36250</v>
      </c>
      <c r="DQF19" s="68">
        <f t="shared" si="1012"/>
        <v>6041.666666666667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3"/>
        <v>26543</v>
      </c>
      <c r="DQN19" s="68">
        <f t="shared" si="1014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5"/>
        <v>27382</v>
      </c>
      <c r="DQV19" s="68">
        <f t="shared" si="1016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7"/>
        <v>39215</v>
      </c>
      <c r="DRD19" s="68">
        <f t="shared" si="1018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9"/>
        <v>21745</v>
      </c>
      <c r="DRL19" s="68">
        <f t="shared" si="1020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1"/>
        <v>21922</v>
      </c>
      <c r="DRT19" s="68">
        <f t="shared" si="1022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3"/>
        <v>30361</v>
      </c>
      <c r="DSB19" s="68">
        <f t="shared" si="1024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5"/>
        <v>25453</v>
      </c>
      <c r="DSJ19" s="68">
        <f t="shared" si="1026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7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8"/>
        <v>44815</v>
      </c>
      <c r="DSZ19" s="68">
        <f t="shared" si="1029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30"/>
        <v>19378</v>
      </c>
      <c r="DTH19" s="68">
        <f t="shared" si="1031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2"/>
        <v>32461</v>
      </c>
      <c r="DTP19" s="68">
        <f t="shared" si="1033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4"/>
        <v>45418</v>
      </c>
      <c r="DTX19" s="68">
        <f t="shared" si="1035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6"/>
        <v>26515</v>
      </c>
      <c r="DUF19" s="68">
        <f t="shared" si="1037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8"/>
        <v>21317</v>
      </c>
      <c r="DUN19" s="68">
        <f t="shared" si="1039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40"/>
        <v>41977</v>
      </c>
      <c r="DUV19" s="68">
        <f t="shared" si="1041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2"/>
        <v>25867</v>
      </c>
      <c r="DVD19" s="68">
        <f t="shared" si="1043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4"/>
        <v>15987</v>
      </c>
      <c r="DVL19" s="68">
        <f t="shared" si="1045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6"/>
        <v>31619</v>
      </c>
      <c r="DVT19" s="68">
        <f t="shared" si="1047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8"/>
        <v>31220</v>
      </c>
      <c r="DWB19" s="68">
        <f t="shared" si="1049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50"/>
        <v>33524</v>
      </c>
      <c r="DWJ19" s="68">
        <f t="shared" si="1051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2"/>
        <v>22123</v>
      </c>
      <c r="DWR19" s="68">
        <f t="shared" si="1053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4"/>
        <v>31757</v>
      </c>
      <c r="DWZ19" s="68">
        <f t="shared" si="1055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6"/>
        <v>28327</v>
      </c>
      <c r="DXH19" s="68">
        <f t="shared" si="1057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8"/>
        <v>37475</v>
      </c>
      <c r="DXP19" s="68">
        <f t="shared" si="1059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60"/>
        <v>28482</v>
      </c>
      <c r="DXX19" s="68">
        <f t="shared" si="1061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2"/>
        <v>42536</v>
      </c>
      <c r="DYF19" s="68">
        <f t="shared" si="1063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4"/>
        <v>40316</v>
      </c>
      <c r="DYN19" s="68">
        <f t="shared" si="1065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6"/>
        <v>34735</v>
      </c>
      <c r="DYV19" s="68">
        <f t="shared" si="1067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8"/>
        <v>21033</v>
      </c>
      <c r="DZD19" s="68">
        <f t="shared" si="1069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70"/>
        <v>47428</v>
      </c>
      <c r="DZL19" s="68">
        <f t="shared" si="1071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2"/>
        <v>37842</v>
      </c>
      <c r="DZT19" s="68">
        <f t="shared" si="1073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4"/>
        <v>34002</v>
      </c>
      <c r="EAB19" s="68">
        <f t="shared" si="1075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6"/>
        <v>39319</v>
      </c>
      <c r="EAJ19" s="68">
        <f t="shared" si="1077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8"/>
        <v>30217</v>
      </c>
      <c r="EAR19" s="68">
        <f t="shared" si="1079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80"/>
        <v>34966</v>
      </c>
      <c r="EAZ19" s="68">
        <f t="shared" si="1081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2"/>
        <v>23855</v>
      </c>
      <c r="EBH19" s="68">
        <f t="shared" si="1083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4"/>
        <v>24889</v>
      </c>
      <c r="EBP19" s="68">
        <f t="shared" si="1085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6"/>
        <v>39751</v>
      </c>
      <c r="EBX19" s="68">
        <f t="shared" si="1087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8"/>
        <v>27177</v>
      </c>
      <c r="ECF19" s="68">
        <f t="shared" si="1089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90"/>
        <v>35050</v>
      </c>
      <c r="ECN19" s="68">
        <f t="shared" si="1091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2"/>
        <v>24057</v>
      </c>
      <c r="ECV19" s="68">
        <f t="shared" si="1093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4"/>
        <v>24758</v>
      </c>
      <c r="EDD19" s="68">
        <f t="shared" si="1095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6"/>
        <v>29009</v>
      </c>
      <c r="EDL19" s="68">
        <f t="shared" si="1097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8"/>
        <v>15731</v>
      </c>
      <c r="EDT19" s="68">
        <f t="shared" si="1099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100"/>
        <v>26152</v>
      </c>
      <c r="EEB19" s="68">
        <f t="shared" si="1101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2"/>
        <v>6169</v>
      </c>
      <c r="EEJ19" s="68">
        <f t="shared" si="1103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4"/>
        <v>16912</v>
      </c>
      <c r="EER19" s="68">
        <f t="shared" si="1105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6"/>
        <v>27744</v>
      </c>
      <c r="EEZ19" s="68">
        <f t="shared" si="1107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8"/>
        <v>41138</v>
      </c>
      <c r="EFH19" s="68">
        <f t="shared" si="1109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10"/>
        <v>32417</v>
      </c>
      <c r="EFP19" s="68">
        <f t="shared" si="1111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2"/>
        <v>52541</v>
      </c>
      <c r="EFX19" s="68">
        <f t="shared" si="1113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4"/>
        <v>39903</v>
      </c>
      <c r="EGF19" s="68">
        <f t="shared" si="1115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6"/>
        <v>22485</v>
      </c>
      <c r="EGN19" s="68">
        <f t="shared" si="1117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8"/>
        <v>30020</v>
      </c>
      <c r="EGV19" s="68">
        <f t="shared" si="1119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20"/>
        <v>46867</v>
      </c>
      <c r="EHD19" s="68">
        <f t="shared" si="1121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2"/>
        <v>34216</v>
      </c>
      <c r="EHL19" s="68">
        <f t="shared" si="1123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4"/>
        <v>39928</v>
      </c>
      <c r="EHT19" s="68">
        <f t="shared" si="1125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6"/>
        <v>30910</v>
      </c>
      <c r="EIB19" s="68">
        <f t="shared" si="1127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8"/>
        <v>29797</v>
      </c>
      <c r="EIJ19" s="68">
        <f t="shared" si="1129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30"/>
        <v>32998</v>
      </c>
      <c r="EIR19" s="68">
        <f t="shared" si="1131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2"/>
        <v>29517</v>
      </c>
      <c r="EIZ19" s="68">
        <f t="shared" si="1133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4"/>
        <v>22035</v>
      </c>
      <c r="EJH19" s="68">
        <f t="shared" si="1135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6"/>
        <v>27049</v>
      </c>
      <c r="EJP19" s="68">
        <f t="shared" si="1137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8"/>
        <v>37317</v>
      </c>
      <c r="EJX19" s="68">
        <f t="shared" si="1139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40"/>
        <v>39394</v>
      </c>
      <c r="EKF19" s="68">
        <f t="shared" si="1141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2"/>
        <v>22820</v>
      </c>
      <c r="EKN19" s="68">
        <f t="shared" si="1143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4"/>
        <v>28955</v>
      </c>
      <c r="EKV19" s="68">
        <f t="shared" si="1145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6"/>
        <v>35256</v>
      </c>
      <c r="ELD19" s="68">
        <f t="shared" si="1147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8"/>
        <v>38084</v>
      </c>
      <c r="ELL19" s="184">
        <f t="shared" si="1149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50"/>
        <v>18189</v>
      </c>
      <c r="ELU19" s="211">
        <f t="shared" si="1151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2"/>
        <v>17591</v>
      </c>
      <c r="EMC19" s="211">
        <f t="shared" si="1153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4"/>
        <v>33064</v>
      </c>
      <c r="EMK19" s="211">
        <f t="shared" si="1155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6"/>
        <v>24156</v>
      </c>
      <c r="EMS19" s="211">
        <f t="shared" si="1157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8"/>
        <v>27548</v>
      </c>
      <c r="ENA19" s="211">
        <f t="shared" si="1159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60"/>
        <v>13040</v>
      </c>
      <c r="ENI19" s="211">
        <f t="shared" si="1161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2"/>
        <v>25355</v>
      </c>
      <c r="ENQ19" s="211">
        <f t="shared" si="1163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4"/>
        <v>32189</v>
      </c>
      <c r="ENY19" s="211">
        <f t="shared" si="1165"/>
        <v>5364.833333333333</v>
      </c>
      <c r="ENZ19" s="244">
        <f>SUMIF(SUMPK!$B:$B,$B:$B,SUMPK!$O:$O)</f>
        <v>4459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6"/>
        <v>24306</v>
      </c>
      <c r="EOG19" s="211">
        <f t="shared" si="1167"/>
        <v>4051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8"/>
        <v>19345</v>
      </c>
      <c r="EOO19" s="211">
        <f t="shared" si="1169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70"/>
        <v>21438</v>
      </c>
      <c r="EOW19" s="211">
        <f t="shared" si="1171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2"/>
        <v>29439</v>
      </c>
      <c r="EPE19" s="211">
        <f t="shared" si="1173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4"/>
        <v>36171</v>
      </c>
      <c r="EPM19" s="211">
        <f t="shared" si="1175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6"/>
        <v>33734</v>
      </c>
      <c r="EPU19" s="211">
        <f t="shared" si="1177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8"/>
        <v>26559</v>
      </c>
      <c r="EQC19" s="211">
        <f t="shared" si="1179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80"/>
        <v>25827</v>
      </c>
      <c r="EQK19" s="211">
        <f t="shared" si="1181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2"/>
        <v>28942</v>
      </c>
      <c r="EQS19" s="211">
        <f t="shared" si="1183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4"/>
        <v>40532</v>
      </c>
      <c r="ERA19" s="211">
        <f t="shared" si="1185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6"/>
        <v>35074</v>
      </c>
      <c r="ERI19" s="211">
        <f t="shared" si="1187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8"/>
        <v>29509</v>
      </c>
      <c r="ERQ19" s="211">
        <f t="shared" si="1189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90"/>
        <v>29082</v>
      </c>
      <c r="ERY19" s="211">
        <f t="shared" si="1191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2"/>
        <v>39383</v>
      </c>
      <c r="ESG19" s="211">
        <f t="shared" si="1193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4"/>
        <v>37706</v>
      </c>
      <c r="ESO19" s="211">
        <f t="shared" si="1195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6"/>
        <v>36320</v>
      </c>
      <c r="ESW19" s="211">
        <f t="shared" si="1197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8"/>
        <v>31833</v>
      </c>
      <c r="ETE19" s="736">
        <f t="shared" si="1199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200"/>
        <v>33422</v>
      </c>
      <c r="ETM19" s="211">
        <f t="shared" si="1201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2"/>
        <v>19181</v>
      </c>
      <c r="ETU19" s="211">
        <f t="shared" si="1203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4"/>
        <v>24983</v>
      </c>
      <c r="EUC19" s="211">
        <f t="shared" si="1205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6"/>
        <v>23181</v>
      </c>
      <c r="EUK19" s="211">
        <f t="shared" si="1207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8"/>
        <v>40221</v>
      </c>
      <c r="EUS19" s="211">
        <f t="shared" si="1209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10"/>
        <v>26199</v>
      </c>
      <c r="EVA19" s="211">
        <f t="shared" si="1211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2"/>
        <v>32944</v>
      </c>
      <c r="EVI19" s="211">
        <f t="shared" si="1213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4"/>
        <v>17964</v>
      </c>
      <c r="EVQ19" s="211">
        <f t="shared" si="1215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6"/>
        <v>28329</v>
      </c>
      <c r="EVY19" s="211">
        <f t="shared" si="1217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8"/>
        <v>15662</v>
      </c>
      <c r="EWG19" s="211">
        <f t="shared" si="1219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20"/>
        <v>34333</v>
      </c>
      <c r="EWO19" s="211">
        <f t="shared" si="1221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2"/>
        <v>37185</v>
      </c>
      <c r="EWW19" s="211">
        <f t="shared" si="1223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4"/>
        <v>28711</v>
      </c>
      <c r="EXE19" s="211">
        <f t="shared" si="1225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6"/>
        <v>19818</v>
      </c>
      <c r="EXM19" s="211">
        <f t="shared" si="1227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8"/>
        <v>33916</v>
      </c>
      <c r="EXU19" s="211">
        <f t="shared" si="1229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30"/>
        <v>23935</v>
      </c>
      <c r="EYC19" s="211">
        <f t="shared" si="1231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2"/>
        <v>31917</v>
      </c>
      <c r="EYK19" s="211">
        <f t="shared" si="1233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4"/>
        <v>44880</v>
      </c>
      <c r="EYS19" s="211">
        <f t="shared" si="1235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6"/>
        <v>21395</v>
      </c>
      <c r="EZA19" s="211">
        <f t="shared" si="1237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8"/>
        <v>33304</v>
      </c>
      <c r="EZI19" s="211">
        <f t="shared" si="1239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40"/>
        <v>41010</v>
      </c>
      <c r="EZQ19" s="873">
        <f t="shared" si="1241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2"/>
        <v>35920</v>
      </c>
      <c r="EZY19" s="873">
        <f t="shared" si="1243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4"/>
        <v>40910</v>
      </c>
      <c r="FAG19" s="873">
        <f t="shared" si="1245"/>
        <v>6818.333333333333</v>
      </c>
      <c r="FAH19" s="195">
        <v>6661</v>
      </c>
      <c r="FAI19" s="49">
        <v>8764</v>
      </c>
      <c r="FAJ19" s="49">
        <v>7604</v>
      </c>
      <c r="FAK19" s="49">
        <v>5476</v>
      </c>
      <c r="FAL19" s="49">
        <v>4413</v>
      </c>
      <c r="FAM19" s="49">
        <v>12614</v>
      </c>
      <c r="FAN19" s="872">
        <f t="shared" si="1246"/>
        <v>45532</v>
      </c>
      <c r="FAO19" s="873">
        <f t="shared" si="1247"/>
        <v>7588.666666666667</v>
      </c>
      <c r="FAP19" s="195">
        <v>1863</v>
      </c>
      <c r="FAQ19" s="49">
        <v>9669</v>
      </c>
      <c r="FAR19" s="49"/>
      <c r="FAS19" s="49"/>
      <c r="FAT19" s="49"/>
      <c r="FAU19" s="49"/>
      <c r="FAV19" s="872">
        <f t="shared" si="1248"/>
        <v>11532</v>
      </c>
      <c r="FAW19" s="873">
        <f t="shared" si="1249"/>
        <v>1922</v>
      </c>
    </row>
    <row r="20" spans="1:4105" ht="15" customHeight="1" x14ac:dyDescent="0.2">
      <c r="A20" s="21">
        <v>14</v>
      </c>
      <c r="B20" s="21" t="s">
        <v>343</v>
      </c>
      <c r="C20" s="275" t="s">
        <v>344</v>
      </c>
      <c r="D20" s="21">
        <v>50</v>
      </c>
      <c r="E20" s="24">
        <v>0</v>
      </c>
      <c r="F20" s="24">
        <v>6613</v>
      </c>
      <c r="G20" s="24"/>
      <c r="H20" s="24"/>
      <c r="I20" s="24"/>
      <c r="J20" s="360">
        <f>SUMIF(SUMPK!$B:$B,$B:$B,SUMPK!$O:$O)</f>
        <v>2749</v>
      </c>
      <c r="K20" s="24"/>
      <c r="L20" s="24">
        <f t="shared" ref="L20" si="1259">F20+H20-J20</f>
        <v>3864</v>
      </c>
      <c r="M20" s="24">
        <f t="shared" ref="M20" si="1260">K20+L20</f>
        <v>3864</v>
      </c>
      <c r="N20" s="15">
        <v>2748.6666666666665</v>
      </c>
      <c r="O20" s="276">
        <f t="shared" si="0"/>
        <v>1.405772495755518</v>
      </c>
      <c r="P20" s="15">
        <v>842.16666666666663</v>
      </c>
      <c r="Q20" s="276">
        <f t="shared" si="571"/>
        <v>27.528992677617261</v>
      </c>
      <c r="R20" s="277">
        <f t="shared" si="572"/>
        <v>1000</v>
      </c>
      <c r="S20" s="222">
        <v>26000</v>
      </c>
      <c r="T20" s="276">
        <f t="shared" si="573"/>
        <v>3.8639999999999999</v>
      </c>
      <c r="U20" s="278"/>
      <c r="V20" s="277">
        <f t="shared" si="1"/>
        <v>3.8639999999999999</v>
      </c>
      <c r="W20" s="279">
        <f t="shared" si="1252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60"/>
        <v>10730</v>
      </c>
      <c r="ENI20" s="211">
        <f t="shared" si="1161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2"/>
        <v>11306</v>
      </c>
      <c r="ENQ20" s="211">
        <f t="shared" si="1163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4"/>
        <v>8802</v>
      </c>
      <c r="ENY20" s="211">
        <f t="shared" si="1165"/>
        <v>1467</v>
      </c>
      <c r="ENZ20" s="244">
        <f>SUMIF(SUMPK!$B:$B,$B:$B,SUMPK!$O:$O)</f>
        <v>2749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6"/>
        <v>9951</v>
      </c>
      <c r="EOG20" s="211">
        <f t="shared" si="1167"/>
        <v>1658.5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8"/>
        <v>14257</v>
      </c>
      <c r="EOO20" s="211">
        <f t="shared" si="1169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70"/>
        <v>11745</v>
      </c>
      <c r="EOW20" s="211">
        <f t="shared" si="1171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2"/>
        <v>5217</v>
      </c>
      <c r="EPE20" s="211">
        <f t="shared" si="1173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4"/>
        <v>9699</v>
      </c>
      <c r="EPM20" s="211">
        <f t="shared" si="1175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6"/>
        <v>8448</v>
      </c>
      <c r="EPU20" s="211">
        <f t="shared" si="1177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8"/>
        <v>7604</v>
      </c>
      <c r="EQC20" s="211">
        <f t="shared" si="1179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80"/>
        <v>10424</v>
      </c>
      <c r="EQK20" s="211">
        <f t="shared" si="1181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2"/>
        <v>12555</v>
      </c>
      <c r="EQS20" s="211">
        <f t="shared" si="1183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4"/>
        <v>13526</v>
      </c>
      <c r="ERA20" s="211">
        <f t="shared" si="1185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6"/>
        <v>14925</v>
      </c>
      <c r="ERI20" s="211">
        <f t="shared" si="1187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8"/>
        <v>11686</v>
      </c>
      <c r="ERQ20" s="211">
        <f t="shared" si="1189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90"/>
        <v>9266</v>
      </c>
      <c r="ERY20" s="211">
        <f t="shared" si="1191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2"/>
        <v>12934</v>
      </c>
      <c r="ESG20" s="211">
        <f t="shared" si="1193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4"/>
        <v>15943</v>
      </c>
      <c r="ESO20" s="211">
        <f t="shared" si="1195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6"/>
        <v>5700</v>
      </c>
      <c r="ESW20" s="211">
        <f t="shared" si="1197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8"/>
        <v>13351</v>
      </c>
      <c r="ETE20" s="736">
        <f t="shared" si="1199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200"/>
        <v>10265</v>
      </c>
      <c r="ETM20" s="211">
        <f t="shared" si="1201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2"/>
        <v>6593</v>
      </c>
      <c r="ETU20" s="211">
        <f t="shared" si="1203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4"/>
        <v>14898</v>
      </c>
      <c r="EUC20" s="211">
        <f t="shared" si="1205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6"/>
        <v>11897</v>
      </c>
      <c r="EUK20" s="211">
        <f t="shared" si="1207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8"/>
        <v>1100</v>
      </c>
      <c r="EUS20" s="211">
        <f t="shared" si="1209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10"/>
        <v>0</v>
      </c>
      <c r="EVA20" s="211">
        <f t="shared" si="1211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2"/>
        <v>540</v>
      </c>
      <c r="EVI20" s="211">
        <f t="shared" si="1213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4"/>
        <v>0</v>
      </c>
      <c r="EVQ20" s="211">
        <f t="shared" si="1215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6"/>
        <v>0</v>
      </c>
      <c r="EVY20" s="211">
        <f t="shared" si="1217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8"/>
        <v>0</v>
      </c>
      <c r="EWG20" s="211">
        <f t="shared" si="1219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20"/>
        <v>0</v>
      </c>
      <c r="EWO20" s="211">
        <f t="shared" si="1221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2"/>
        <v>0</v>
      </c>
      <c r="EWW20" s="211">
        <f t="shared" si="1223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4"/>
        <v>0</v>
      </c>
      <c r="EXE20" s="211">
        <f t="shared" si="1225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6"/>
        <v>0</v>
      </c>
      <c r="EXM20" s="211">
        <f t="shared" si="1227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8"/>
        <v>5751</v>
      </c>
      <c r="EXU20" s="211">
        <f t="shared" si="1229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30"/>
        <v>3384</v>
      </c>
      <c r="EYC20" s="211">
        <f t="shared" si="1231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2"/>
        <v>8134</v>
      </c>
      <c r="EYK20" s="211">
        <f t="shared" si="1233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4"/>
        <v>957</v>
      </c>
      <c r="EYS20" s="211">
        <f t="shared" si="1235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6"/>
        <v>10327</v>
      </c>
      <c r="EZA20" s="211">
        <f t="shared" si="1237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8"/>
        <v>12231</v>
      </c>
      <c r="EZI20" s="211">
        <f t="shared" si="1239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40"/>
        <v>2621</v>
      </c>
      <c r="EZQ20" s="873">
        <f t="shared" si="1241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2"/>
        <v>7964</v>
      </c>
      <c r="EZY20" s="873">
        <f t="shared" si="1243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4"/>
        <v>5053</v>
      </c>
      <c r="FAG20" s="873">
        <f t="shared" si="1245"/>
        <v>842.16666666666663</v>
      </c>
      <c r="FAH20" s="195">
        <v>4380</v>
      </c>
      <c r="FAI20" s="49">
        <v>3428</v>
      </c>
      <c r="FAJ20" s="49">
        <v>2646</v>
      </c>
      <c r="FAK20" s="49">
        <v>4986</v>
      </c>
      <c r="FAL20" s="49">
        <v>0</v>
      </c>
      <c r="FAM20" s="49">
        <v>1052</v>
      </c>
      <c r="FAN20" s="872">
        <f t="shared" si="1246"/>
        <v>16492</v>
      </c>
      <c r="FAO20" s="873">
        <f t="shared" si="1247"/>
        <v>2748.6666666666665</v>
      </c>
      <c r="FAP20" s="195">
        <v>163</v>
      </c>
      <c r="FAQ20" s="49">
        <v>4693</v>
      </c>
      <c r="FAR20" s="49"/>
      <c r="FAS20" s="49"/>
      <c r="FAT20" s="49"/>
      <c r="FAU20" s="49"/>
      <c r="FAV20" s="872">
        <f t="shared" si="1248"/>
        <v>4856</v>
      </c>
      <c r="FAW20" s="873">
        <f t="shared" si="1249"/>
        <v>809.33333333333337</v>
      </c>
    </row>
    <row r="21" spans="1:4105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2031</v>
      </c>
      <c r="G21" s="24"/>
      <c r="H21" s="24">
        <v>4850</v>
      </c>
      <c r="I21" s="24"/>
      <c r="J21" s="360">
        <f>SUMIF(SUMPK!$B:$B,$B:$B,SUMPK!$O:$O)</f>
        <v>0</v>
      </c>
      <c r="K21" s="24"/>
      <c r="L21" s="24">
        <f t="shared" si="569"/>
        <v>6881</v>
      </c>
      <c r="M21" s="24">
        <f t="shared" si="570"/>
        <v>6881</v>
      </c>
      <c r="N21" s="15">
        <v>1216.8333333333333</v>
      </c>
      <c r="O21" s="276">
        <f t="shared" si="0"/>
        <v>5.6548418024928093</v>
      </c>
      <c r="P21" s="15">
        <v>572.83333333333337</v>
      </c>
      <c r="Q21" s="276">
        <f t="shared" si="571"/>
        <v>72.073319755600807</v>
      </c>
      <c r="R21" s="277">
        <f t="shared" si="572"/>
        <v>800</v>
      </c>
      <c r="S21" s="222">
        <v>20800</v>
      </c>
      <c r="T21" s="276">
        <f t="shared" si="573"/>
        <v>8.6012500000000003</v>
      </c>
      <c r="U21" s="278"/>
      <c r="V21" s="277">
        <f t="shared" si="1"/>
        <v>8.6012500000000003</v>
      </c>
      <c r="W21" s="279">
        <f t="shared" si="1252"/>
        <v>1</v>
      </c>
      <c r="X21" s="299"/>
      <c r="Y21" s="280" t="e">
        <f>#REF!+#REF!</f>
        <v>#REF!</v>
      </c>
      <c r="Z21" s="280" t="e">
        <f t="shared" si="1257"/>
        <v>#REF!</v>
      </c>
      <c r="AA21" s="280" t="e">
        <f t="shared" ref="AA21:AA23" si="1261">M21/Z21</f>
        <v>#REF!</v>
      </c>
      <c r="AB21" s="280" t="e">
        <f t="shared" ref="AB21:AB23" si="1262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4"/>
        <v>1335</v>
      </c>
      <c r="BAV21" s="43">
        <f t="shared" si="575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6"/>
        <v>3074</v>
      </c>
      <c r="BBD21" s="43">
        <f t="shared" si="577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8"/>
        <v>294</v>
      </c>
      <c r="BBL21" s="43">
        <f t="shared" si="579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80"/>
        <v>838</v>
      </c>
      <c r="BBT21" s="43">
        <f t="shared" si="581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2"/>
        <v>1663</v>
      </c>
      <c r="BCB21" s="43">
        <f t="shared" si="583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4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5"/>
        <v>4199</v>
      </c>
      <c r="BCR21" s="43">
        <f t="shared" si="586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7"/>
        <v>2549</v>
      </c>
      <c r="BCZ21" s="43">
        <f t="shared" si="588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9"/>
        <v>1483</v>
      </c>
      <c r="BDH21" s="43">
        <f t="shared" si="590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1"/>
        <v>843</v>
      </c>
      <c r="BDP21" s="43">
        <f t="shared" si="592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3"/>
        <v>4664</v>
      </c>
      <c r="BDX21" s="43">
        <f t="shared" si="594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5"/>
        <v>2251</v>
      </c>
      <c r="BEF21" s="43">
        <f t="shared" si="596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7"/>
        <v>2045</v>
      </c>
      <c r="BEN21" s="43">
        <f t="shared" si="598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9"/>
        <v>3675</v>
      </c>
      <c r="BEV21" s="43">
        <f t="shared" si="600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1"/>
        <v>3381</v>
      </c>
      <c r="BFD21" s="43">
        <f t="shared" si="602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3"/>
        <v>122</v>
      </c>
      <c r="BFL21" s="68">
        <f t="shared" si="604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5"/>
        <v>3367</v>
      </c>
      <c r="BFT21" s="68">
        <f t="shared" si="606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7"/>
        <v>1669</v>
      </c>
      <c r="BGB21" s="68">
        <f t="shared" si="608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9"/>
        <v>1634</v>
      </c>
      <c r="BGJ21" s="68">
        <f t="shared" si="610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1"/>
        <v>2003</v>
      </c>
      <c r="BGR21" s="68">
        <f t="shared" si="612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3"/>
        <v>1680</v>
      </c>
      <c r="BGZ21" s="68">
        <f t="shared" si="614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5"/>
        <v>5250</v>
      </c>
      <c r="BHH21" s="68">
        <f t="shared" si="616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7"/>
        <v>3392</v>
      </c>
      <c r="BHP21" s="184">
        <f t="shared" si="618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9"/>
        <v>1654</v>
      </c>
      <c r="BHX21" s="211">
        <f t="shared" si="620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1"/>
        <v>3349</v>
      </c>
      <c r="BIF21" s="184">
        <f t="shared" si="622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3"/>
        <v>2505</v>
      </c>
      <c r="BIN21" s="184">
        <f t="shared" si="624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5"/>
        <v>3335</v>
      </c>
      <c r="BIV21" s="211">
        <f t="shared" si="626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7"/>
        <v>3517</v>
      </c>
      <c r="BJD21" s="211">
        <f t="shared" si="628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9"/>
        <v>3700</v>
      </c>
      <c r="BJL21" s="211">
        <f t="shared" si="630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1"/>
        <v>3387</v>
      </c>
      <c r="BJT21" s="184">
        <f t="shared" si="632"/>
        <v>564.5</v>
      </c>
      <c r="BJU21" s="195"/>
      <c r="BJV21" s="49"/>
      <c r="BJW21" s="49"/>
      <c r="BJX21" s="49"/>
      <c r="BJY21" s="49"/>
      <c r="BJZ21" s="49"/>
      <c r="BKA21" s="67">
        <f t="shared" si="633"/>
        <v>0</v>
      </c>
      <c r="BKB21" s="184">
        <f t="shared" si="634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5"/>
        <v>3349</v>
      </c>
      <c r="BKJ21" s="184">
        <f t="shared" si="636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7"/>
        <v>3313</v>
      </c>
      <c r="BKR21" s="184">
        <f t="shared" si="638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9"/>
        <v>2336</v>
      </c>
      <c r="BKZ21" s="211">
        <f t="shared" si="640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1"/>
        <v>2818</v>
      </c>
      <c r="BLH21" s="211">
        <f t="shared" si="642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3"/>
        <v>3483</v>
      </c>
      <c r="BLP21" s="184">
        <f t="shared" si="644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5"/>
        <v>0</v>
      </c>
      <c r="BLX21" s="184">
        <f t="shared" si="646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7"/>
        <v>3248</v>
      </c>
      <c r="BMF21" s="68">
        <f t="shared" si="648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9"/>
        <v>3412</v>
      </c>
      <c r="BMN21" s="68">
        <f t="shared" si="650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1"/>
        <v>1677</v>
      </c>
      <c r="BMV21" s="68">
        <f t="shared" si="652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3"/>
        <v>1719</v>
      </c>
      <c r="BND21" s="68">
        <f t="shared" si="654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5"/>
        <v>1329</v>
      </c>
      <c r="BNL21" s="68">
        <f t="shared" si="656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7"/>
        <v>3830</v>
      </c>
      <c r="BNT21" s="68">
        <f t="shared" si="658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9"/>
        <v>2837</v>
      </c>
      <c r="BOB21" s="184">
        <f t="shared" si="660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1"/>
        <v>2179</v>
      </c>
      <c r="BOJ21" s="184">
        <f t="shared" si="662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3"/>
        <v>3491</v>
      </c>
      <c r="BOR21" s="68">
        <f t="shared" si="664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5"/>
        <v>3373</v>
      </c>
      <c r="BOZ21" s="68">
        <f t="shared" si="666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7"/>
        <v>3670</v>
      </c>
      <c r="BPH21" s="68">
        <f t="shared" si="668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9"/>
        <v>3262</v>
      </c>
      <c r="BPP21" s="68">
        <f t="shared" si="670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1"/>
        <v>3404</v>
      </c>
      <c r="BPX21" s="68">
        <f t="shared" si="672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3"/>
        <v>37</v>
      </c>
      <c r="BQF21" s="68">
        <f t="shared" si="674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5"/>
        <v>3686</v>
      </c>
      <c r="BQN21" s="68">
        <f t="shared" si="676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7"/>
        <v>2970</v>
      </c>
      <c r="BQV21" s="68">
        <f t="shared" si="678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9"/>
        <v>129</v>
      </c>
      <c r="BRD21" s="68">
        <f t="shared" si="680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1"/>
        <v>3496</v>
      </c>
      <c r="BRL21" s="68">
        <f t="shared" si="682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3"/>
        <v>3253</v>
      </c>
      <c r="BRT21" s="68">
        <f t="shared" si="684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5"/>
        <v>2692</v>
      </c>
      <c r="BSB21" s="68">
        <f t="shared" si="686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7"/>
        <v>3694</v>
      </c>
      <c r="BSJ21" s="68">
        <f t="shared" si="688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9"/>
        <v>209</v>
      </c>
      <c r="BSR21" s="68">
        <f t="shared" si="690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1"/>
        <v>5795</v>
      </c>
      <c r="BSZ21" s="68">
        <f t="shared" si="692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3"/>
        <v>233</v>
      </c>
      <c r="BTH21" s="68">
        <f t="shared" si="694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5"/>
        <v>1186</v>
      </c>
      <c r="BTP21" s="68">
        <f t="shared" si="696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7"/>
        <v>74</v>
      </c>
      <c r="BTX21" s="184">
        <f t="shared" si="698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9"/>
        <v>1685</v>
      </c>
      <c r="BUF21" s="184">
        <f t="shared" si="700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1"/>
        <v>3461</v>
      </c>
      <c r="BUN21" s="211">
        <f t="shared" si="702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3"/>
        <v>2882</v>
      </c>
      <c r="BUV21" s="211">
        <f t="shared" si="704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5"/>
        <v>3880</v>
      </c>
      <c r="BVD21" s="211">
        <f t="shared" si="706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7"/>
        <v>1386</v>
      </c>
      <c r="BVL21" s="184">
        <f t="shared" si="708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9"/>
        <v>2717</v>
      </c>
      <c r="BVT21" s="211">
        <f t="shared" si="710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1"/>
        <v>1656</v>
      </c>
      <c r="BWB21" s="184">
        <f t="shared" si="712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3"/>
        <v>1180</v>
      </c>
      <c r="BWJ21" s="184">
        <f t="shared" si="714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5"/>
        <v>4324</v>
      </c>
      <c r="BWR21" s="211">
        <f t="shared" si="716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7"/>
        <v>2470</v>
      </c>
      <c r="BWZ21" s="211">
        <f t="shared" si="718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9"/>
        <v>648</v>
      </c>
      <c r="BXH21" s="211">
        <f t="shared" si="720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1"/>
        <v>2423</v>
      </c>
      <c r="BXP21" s="184">
        <f t="shared" si="722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3"/>
        <v>2502</v>
      </c>
      <c r="BXX21" s="184">
        <f t="shared" si="724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5"/>
        <v>2534</v>
      </c>
      <c r="BYF21" s="211">
        <f t="shared" si="726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7"/>
        <v>3544</v>
      </c>
      <c r="BYN21" s="184">
        <f t="shared" si="728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9"/>
        <v>4718</v>
      </c>
      <c r="BYV21" s="211">
        <f t="shared" si="730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1"/>
        <v>2520</v>
      </c>
      <c r="BZD21" s="184">
        <f t="shared" si="732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3"/>
        <v>1610</v>
      </c>
      <c r="BZL21" s="184">
        <f t="shared" si="734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5"/>
        <v>4443</v>
      </c>
      <c r="BZT21" s="68">
        <f t="shared" si="736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7"/>
        <v>2554</v>
      </c>
      <c r="CAB21" s="68">
        <f t="shared" si="738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9"/>
        <v>1242</v>
      </c>
      <c r="CAJ21" s="68">
        <f t="shared" si="740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1"/>
        <v>1798</v>
      </c>
      <c r="CAR21" s="184">
        <f t="shared" si="742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3"/>
        <v>6408</v>
      </c>
      <c r="CAZ21" s="211">
        <f t="shared" si="744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5"/>
        <v>3200</v>
      </c>
      <c r="CBH21" s="211">
        <f t="shared" si="746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7"/>
        <v>2742</v>
      </c>
      <c r="CBP21" s="184">
        <f t="shared" si="748"/>
        <v>457</v>
      </c>
      <c r="CBQ21" s="63"/>
      <c r="CBR21" s="64"/>
      <c r="CBS21" s="64"/>
      <c r="CBT21" s="64"/>
      <c r="CBU21" s="64"/>
      <c r="CBV21" s="64"/>
      <c r="CBW21" s="67">
        <f t="shared" si="749"/>
        <v>0</v>
      </c>
      <c r="CBX21" s="68">
        <f t="shared" si="750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1"/>
        <v>2862</v>
      </c>
      <c r="CCF21" s="68">
        <f t="shared" si="752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3"/>
        <v>2641</v>
      </c>
      <c r="CCN21" s="68">
        <f t="shared" si="754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5"/>
        <v>2115</v>
      </c>
      <c r="CCV21" s="68">
        <f t="shared" si="756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7"/>
        <v>2151</v>
      </c>
      <c r="CDD21" s="68">
        <f t="shared" si="758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9"/>
        <v>3167</v>
      </c>
      <c r="CDL21" s="68">
        <f t="shared" si="760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1"/>
        <v>1760</v>
      </c>
      <c r="CDT21" s="68">
        <f t="shared" si="762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3"/>
        <v>1560</v>
      </c>
      <c r="CEB21" s="68">
        <f t="shared" si="764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5"/>
        <v>3695</v>
      </c>
      <c r="CEJ21" s="68">
        <f t="shared" si="766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7"/>
        <v>487</v>
      </c>
      <c r="CER21" s="68">
        <f t="shared" si="768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9"/>
        <v>1642</v>
      </c>
      <c r="CEZ21" s="68">
        <f t="shared" si="770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1"/>
        <v>2342</v>
      </c>
      <c r="CFH21" s="68">
        <f t="shared" si="772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3"/>
        <v>1360</v>
      </c>
      <c r="CFP21" s="68">
        <f t="shared" si="774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5"/>
        <v>2021</v>
      </c>
      <c r="CFX21" s="68">
        <f t="shared" si="776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7"/>
        <v>2538</v>
      </c>
      <c r="CGF21" s="68">
        <f t="shared" si="778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9"/>
        <v>2919</v>
      </c>
      <c r="CGN21" s="68">
        <f t="shared" si="780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1"/>
        <v>833</v>
      </c>
      <c r="CGV21" s="68">
        <f t="shared" si="782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3"/>
        <v>4295</v>
      </c>
      <c r="CHD21" s="68">
        <f t="shared" si="784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5"/>
        <v>2217</v>
      </c>
      <c r="CHL21" s="68">
        <f t="shared" si="786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7"/>
        <v>1719</v>
      </c>
      <c r="CHT21" s="68">
        <f t="shared" si="788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9"/>
        <v>252</v>
      </c>
      <c r="CIB21" s="68">
        <f t="shared" si="790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1"/>
        <v>2664</v>
      </c>
      <c r="CIJ21" s="68">
        <f t="shared" si="792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3"/>
        <v>3519</v>
      </c>
      <c r="CIR21" s="68">
        <f t="shared" si="794"/>
        <v>586.5</v>
      </c>
      <c r="CIS21" s="63"/>
      <c r="CIT21" s="64"/>
      <c r="CIU21" s="64"/>
      <c r="CIV21" s="64"/>
      <c r="CIW21" s="64"/>
      <c r="CIX21" s="64"/>
      <c r="CIY21" s="67">
        <f t="shared" si="795"/>
        <v>0</v>
      </c>
      <c r="CIZ21" s="68">
        <f t="shared" si="796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7"/>
        <v>1820</v>
      </c>
      <c r="CJH21" s="68">
        <f t="shared" si="798"/>
        <v>303.33333333333331</v>
      </c>
      <c r="CJI21" s="63"/>
      <c r="CJJ21" s="64"/>
      <c r="CJK21" s="64"/>
      <c r="CJL21" s="64"/>
      <c r="CJM21" s="64"/>
      <c r="CJN21" s="64"/>
      <c r="CJO21" s="67">
        <f t="shared" si="799"/>
        <v>0</v>
      </c>
      <c r="CJP21" s="68">
        <f t="shared" si="800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1"/>
        <v>3424</v>
      </c>
      <c r="CJX21" s="68">
        <f t="shared" si="802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3"/>
        <v>2176</v>
      </c>
      <c r="CKF21" s="68">
        <f t="shared" si="804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5"/>
        <v>1675</v>
      </c>
      <c r="CKN21" s="68">
        <f t="shared" si="806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7"/>
        <v>2986</v>
      </c>
      <c r="CKV21" s="68">
        <f t="shared" si="808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9"/>
        <v>43</v>
      </c>
      <c r="CLD21" s="68">
        <f t="shared" si="810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1"/>
        <v>2676</v>
      </c>
      <c r="CLL21" s="68">
        <f t="shared" si="812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3"/>
        <v>1596</v>
      </c>
      <c r="CLT21" s="184">
        <f t="shared" si="814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5"/>
        <v>2059</v>
      </c>
      <c r="CMB21" s="68">
        <f t="shared" si="816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7"/>
        <v>2558</v>
      </c>
      <c r="CMJ21" s="68">
        <f t="shared" si="818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9"/>
        <v>3132</v>
      </c>
      <c r="CMR21" s="68">
        <f t="shared" si="820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1"/>
        <v>845</v>
      </c>
      <c r="CMZ21" s="68">
        <f t="shared" si="822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3"/>
        <v>4657</v>
      </c>
      <c r="CNH21" s="68">
        <f t="shared" si="824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5"/>
        <v>2721</v>
      </c>
      <c r="CNP21" s="68">
        <f t="shared" si="826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7"/>
        <v>3032</v>
      </c>
      <c r="CNX21" s="68">
        <f t="shared" si="828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9"/>
        <v>2714</v>
      </c>
      <c r="COF21" s="68">
        <f t="shared" si="830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1"/>
        <v>3176</v>
      </c>
      <c r="CON21" s="68">
        <f t="shared" si="832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3"/>
        <v>3356</v>
      </c>
      <c r="COV21" s="68">
        <f t="shared" si="834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5"/>
        <v>1783</v>
      </c>
      <c r="CPD21" s="68">
        <f t="shared" si="836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7"/>
        <v>2820</v>
      </c>
      <c r="CPL21" s="68">
        <f t="shared" si="838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9"/>
        <v>1690</v>
      </c>
      <c r="CPT21" s="68">
        <f t="shared" si="840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1"/>
        <v>6003</v>
      </c>
      <c r="CQB21" s="68">
        <f t="shared" si="842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3"/>
        <v>638</v>
      </c>
      <c r="CQJ21" s="68">
        <f t="shared" si="844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5"/>
        <v>2068</v>
      </c>
      <c r="CQR21" s="68">
        <f t="shared" si="846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7"/>
        <v>3784</v>
      </c>
      <c r="CQZ21" s="68">
        <f t="shared" si="848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9"/>
        <v>4411</v>
      </c>
      <c r="CRH21" s="68">
        <f t="shared" si="850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1"/>
        <v>0</v>
      </c>
      <c r="CRP21" s="68">
        <f t="shared" si="852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3"/>
        <v>4951</v>
      </c>
      <c r="CRX21" s="68">
        <f t="shared" si="854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50"/>
        <v>2639</v>
      </c>
      <c r="CSF21" s="68">
        <f t="shared" si="1251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7"/>
        <v>3361</v>
      </c>
      <c r="CSN21" s="68">
        <f t="shared" si="858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9"/>
        <v>4226</v>
      </c>
      <c r="CSV21" s="68">
        <f t="shared" si="860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1"/>
        <v>1823</v>
      </c>
      <c r="CTD21" s="68">
        <f t="shared" si="862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3"/>
        <v>3416</v>
      </c>
      <c r="CTL21" s="68">
        <f t="shared" si="864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5"/>
        <v>2545</v>
      </c>
      <c r="CTT21" s="68">
        <f t="shared" si="866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7"/>
        <v>2049</v>
      </c>
      <c r="CUB21" s="68">
        <f t="shared" si="868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9"/>
        <v>0</v>
      </c>
      <c r="CUJ21" s="68">
        <f t="shared" si="870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1"/>
        <v>4883</v>
      </c>
      <c r="CUR21" s="68">
        <f t="shared" si="872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3"/>
        <v>1690</v>
      </c>
      <c r="CUZ21" s="68">
        <f t="shared" si="874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5"/>
        <v>2191</v>
      </c>
      <c r="CVH21" s="68">
        <f t="shared" si="876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7"/>
        <v>4391</v>
      </c>
      <c r="CVP21" s="68">
        <f t="shared" si="878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9"/>
        <v>2530</v>
      </c>
      <c r="CVX21" s="68">
        <f t="shared" si="880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1"/>
        <v>2577</v>
      </c>
      <c r="CWF21" s="68">
        <f t="shared" si="882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3"/>
        <v>3110</v>
      </c>
      <c r="CWN21" s="68">
        <f t="shared" si="884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5"/>
        <v>4867</v>
      </c>
      <c r="CWV21" s="43">
        <f t="shared" si="886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7"/>
        <v>3430</v>
      </c>
      <c r="CXD21" s="43">
        <f t="shared" si="888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9"/>
        <v>2038</v>
      </c>
      <c r="CXL21" s="43">
        <f t="shared" si="890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1"/>
        <v>4310</v>
      </c>
      <c r="CXT21" s="43">
        <f t="shared" si="892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3"/>
        <v>4358</v>
      </c>
      <c r="CYB21" s="43">
        <f t="shared" si="894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5"/>
        <v>4201</v>
      </c>
      <c r="CYJ21" s="43">
        <f t="shared" si="896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7"/>
        <v>4402</v>
      </c>
      <c r="CYR21" s="43">
        <f t="shared" si="898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9"/>
        <v>5653</v>
      </c>
      <c r="CYZ21" s="43">
        <f t="shared" si="900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1"/>
        <v>42</v>
      </c>
      <c r="CZH21" s="43">
        <f t="shared" si="902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3"/>
        <v>4241</v>
      </c>
      <c r="CZP21" s="43">
        <f t="shared" si="904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5"/>
        <v>3421</v>
      </c>
      <c r="CZX21" s="43">
        <f t="shared" si="906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7"/>
        <v>3591</v>
      </c>
      <c r="DAF21" s="43">
        <f t="shared" si="908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9"/>
        <v>3628</v>
      </c>
      <c r="DAN21" s="43">
        <f t="shared" si="910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1"/>
        <v>3526</v>
      </c>
      <c r="DAV21" s="68">
        <f t="shared" si="912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3"/>
        <v>2555</v>
      </c>
      <c r="DBD21" s="68">
        <f t="shared" si="914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5"/>
        <v>2542</v>
      </c>
      <c r="DBL21" s="68">
        <f t="shared" si="916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7"/>
        <v>3715</v>
      </c>
      <c r="DBT21" s="68">
        <f t="shared" si="918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9"/>
        <v>1981</v>
      </c>
      <c r="DCB21" s="184">
        <f t="shared" si="920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1"/>
        <v>3487</v>
      </c>
      <c r="DCJ21" s="211">
        <f t="shared" si="922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3"/>
        <v>3555</v>
      </c>
      <c r="DCR21" s="211">
        <f t="shared" si="924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5"/>
        <v>2846</v>
      </c>
      <c r="DCZ21" s="184">
        <f t="shared" si="926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7"/>
        <v>2938</v>
      </c>
      <c r="DDH21" s="211">
        <f t="shared" si="928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9"/>
        <v>3368</v>
      </c>
      <c r="DDP21" s="184">
        <f t="shared" si="930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1"/>
        <v>2765</v>
      </c>
      <c r="DDX21" s="211">
        <f t="shared" si="932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3"/>
        <v>4778</v>
      </c>
      <c r="DEF21" s="214">
        <f t="shared" si="934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5"/>
        <v>3367</v>
      </c>
      <c r="DEN21" s="101">
        <f t="shared" si="936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7"/>
        <v>4274</v>
      </c>
      <c r="DEV21" s="101">
        <f t="shared" si="938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9"/>
        <v>0</v>
      </c>
      <c r="DFD21" s="43">
        <f t="shared" si="940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1"/>
        <v>5759</v>
      </c>
      <c r="DFL21" s="43">
        <f t="shared" si="942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3"/>
        <v>1531</v>
      </c>
      <c r="DFT21" s="43">
        <f t="shared" si="944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5"/>
        <v>3813</v>
      </c>
      <c r="DGB21" s="43">
        <f t="shared" si="946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7"/>
        <v>3472</v>
      </c>
      <c r="DGJ21" s="68">
        <f t="shared" si="948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9"/>
        <v>1695</v>
      </c>
      <c r="DGR21" s="68">
        <f t="shared" si="950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1"/>
        <v>4617</v>
      </c>
      <c r="DGZ21" s="68">
        <f t="shared" si="952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3"/>
        <v>3438</v>
      </c>
      <c r="DHH21" s="68">
        <f t="shared" si="954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5"/>
        <v>5635</v>
      </c>
      <c r="DHP21" s="68">
        <f t="shared" si="956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7"/>
        <v>51</v>
      </c>
      <c r="DHX21" s="68">
        <f t="shared" si="958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9"/>
        <v>2602</v>
      </c>
      <c r="DIF21" s="68">
        <f t="shared" si="960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1"/>
        <v>4156</v>
      </c>
      <c r="DIN21" s="68">
        <f t="shared" si="962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3"/>
        <v>4489</v>
      </c>
      <c r="DIV21" s="68">
        <f t="shared" si="964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5"/>
        <v>3669</v>
      </c>
      <c r="DJD21" s="68">
        <f t="shared" si="966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7"/>
        <v>0</v>
      </c>
      <c r="DJL21" s="68">
        <f t="shared" si="968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9"/>
        <v>6806</v>
      </c>
      <c r="DJT21" s="68">
        <f t="shared" si="970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1"/>
        <v>17</v>
      </c>
      <c r="DKB21" s="68">
        <f t="shared" si="972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3"/>
        <v>6839</v>
      </c>
      <c r="DKJ21" s="68">
        <f t="shared" si="974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5"/>
        <v>3183</v>
      </c>
      <c r="DKR21" s="68">
        <f t="shared" si="976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7"/>
        <v>4251</v>
      </c>
      <c r="DKZ21" s="68">
        <f t="shared" si="978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9"/>
        <v>42</v>
      </c>
      <c r="DLH21" s="68">
        <f t="shared" si="980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1"/>
        <v>5180</v>
      </c>
      <c r="DLP21" s="68">
        <f t="shared" si="982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3"/>
        <v>0</v>
      </c>
      <c r="DLX21" s="68">
        <f t="shared" si="984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5"/>
        <v>3599</v>
      </c>
      <c r="DMF21" s="68">
        <f t="shared" si="986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7"/>
        <v>2524</v>
      </c>
      <c r="DMN21" s="68">
        <f t="shared" si="988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9"/>
        <v>3475</v>
      </c>
      <c r="DMV21" s="68">
        <f t="shared" si="990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1"/>
        <v>2698</v>
      </c>
      <c r="DND21" s="68">
        <f t="shared" si="992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3"/>
        <v>4030</v>
      </c>
      <c r="DNL21" s="68">
        <f t="shared" si="994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5"/>
        <v>2485</v>
      </c>
      <c r="DNT21" s="68">
        <f t="shared" si="996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7"/>
        <v>4250</v>
      </c>
      <c r="DOB21" s="68">
        <f t="shared" si="998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9"/>
        <v>2184</v>
      </c>
      <c r="DOJ21" s="68">
        <f t="shared" si="1000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1"/>
        <v>4752</v>
      </c>
      <c r="DOR21" s="68">
        <f t="shared" si="1002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3"/>
        <v>4290</v>
      </c>
      <c r="DOZ21" s="68">
        <f t="shared" si="1004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5"/>
        <v>3325</v>
      </c>
      <c r="DPH21" s="68">
        <f t="shared" si="1006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7"/>
        <v>3315</v>
      </c>
      <c r="DPP21" s="68">
        <f t="shared" si="1008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9"/>
        <v>1620</v>
      </c>
      <c r="DPX21" s="68">
        <f t="shared" si="1010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11"/>
        <v>3584</v>
      </c>
      <c r="DQF21" s="68">
        <f t="shared" si="1012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3"/>
        <v>4592</v>
      </c>
      <c r="DQN21" s="68">
        <f t="shared" si="1014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5"/>
        <v>2418</v>
      </c>
      <c r="DQV21" s="68">
        <f t="shared" si="1016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7"/>
        <v>0</v>
      </c>
      <c r="DRD21" s="68">
        <f t="shared" si="1018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9"/>
        <v>3610</v>
      </c>
      <c r="DRL21" s="68">
        <f t="shared" si="1020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1"/>
        <v>2897</v>
      </c>
      <c r="DRT21" s="68">
        <f t="shared" si="1022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3"/>
        <v>4702</v>
      </c>
      <c r="DSB21" s="68">
        <f t="shared" si="1024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5"/>
        <v>2784</v>
      </c>
      <c r="DSJ21" s="68">
        <f t="shared" si="1026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7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8"/>
        <v>1050</v>
      </c>
      <c r="DSZ21" s="68">
        <f t="shared" si="1029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30"/>
        <v>3314</v>
      </c>
      <c r="DTH21" s="68">
        <f t="shared" si="1031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2"/>
        <v>4976</v>
      </c>
      <c r="DTP21" s="68">
        <f t="shared" si="1033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4"/>
        <v>1737</v>
      </c>
      <c r="DTX21" s="68">
        <f t="shared" si="1035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6"/>
        <v>4380</v>
      </c>
      <c r="DUF21" s="68">
        <f t="shared" si="1037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8"/>
        <v>2853</v>
      </c>
      <c r="DUN21" s="68">
        <f t="shared" si="1039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40"/>
        <v>1958</v>
      </c>
      <c r="DUV21" s="68">
        <f t="shared" si="1041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2"/>
        <v>2572</v>
      </c>
      <c r="DVD21" s="68">
        <f t="shared" si="1043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4"/>
        <v>2831</v>
      </c>
      <c r="DVL21" s="68">
        <f t="shared" si="1045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6"/>
        <v>2544</v>
      </c>
      <c r="DVT21" s="68">
        <f t="shared" si="1047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8"/>
        <v>3591</v>
      </c>
      <c r="DWB21" s="68">
        <f t="shared" si="1049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50"/>
        <v>3011</v>
      </c>
      <c r="DWJ21" s="68">
        <f t="shared" si="1051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2"/>
        <v>3789</v>
      </c>
      <c r="DWR21" s="68">
        <f t="shared" si="1053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4"/>
        <v>3852</v>
      </c>
      <c r="DWZ21" s="68">
        <f t="shared" si="1055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6"/>
        <v>3160</v>
      </c>
      <c r="DXH21" s="68">
        <f t="shared" si="1057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8"/>
        <v>2242</v>
      </c>
      <c r="DXP21" s="68">
        <f t="shared" si="1059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60"/>
        <v>4042</v>
      </c>
      <c r="DXX21" s="68">
        <f t="shared" si="1061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2"/>
        <v>2138</v>
      </c>
      <c r="DYF21" s="68">
        <f t="shared" si="1063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4"/>
        <v>7717</v>
      </c>
      <c r="DYN21" s="68">
        <f t="shared" si="1065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6"/>
        <v>1207</v>
      </c>
      <c r="DYV21" s="68">
        <f t="shared" si="1067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8"/>
        <v>6983</v>
      </c>
      <c r="DZD21" s="68">
        <f t="shared" si="1069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70"/>
        <v>40</v>
      </c>
      <c r="DZL21" s="68">
        <f t="shared" si="1071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2"/>
        <v>7594</v>
      </c>
      <c r="DZT21" s="68">
        <f t="shared" si="1073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4"/>
        <v>191</v>
      </c>
      <c r="EAB21" s="68">
        <f t="shared" si="1075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6"/>
        <v>3603</v>
      </c>
      <c r="EAJ21" s="68">
        <f t="shared" si="1077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8"/>
        <v>6824</v>
      </c>
      <c r="EAR21" s="68">
        <f t="shared" si="1079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80"/>
        <v>997</v>
      </c>
      <c r="EAZ21" s="68">
        <f t="shared" si="1081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2"/>
        <v>5463</v>
      </c>
      <c r="EBH21" s="68">
        <f t="shared" si="1083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4"/>
        <v>6479</v>
      </c>
      <c r="EBP21" s="68">
        <f t="shared" si="1085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6"/>
        <v>175</v>
      </c>
      <c r="EBX21" s="68">
        <f t="shared" si="1087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8"/>
        <v>6695</v>
      </c>
      <c r="ECF21" s="68">
        <f t="shared" si="1089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90"/>
        <v>1931</v>
      </c>
      <c r="ECN21" s="68">
        <f t="shared" si="1091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2"/>
        <v>5235</v>
      </c>
      <c r="ECV21" s="68">
        <f t="shared" si="1093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4"/>
        <v>3885</v>
      </c>
      <c r="EDD21" s="68">
        <f t="shared" si="1095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6"/>
        <v>3436</v>
      </c>
      <c r="EDL21" s="68">
        <f t="shared" si="1097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8"/>
        <v>5344</v>
      </c>
      <c r="EDT21" s="68">
        <f t="shared" si="1099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100"/>
        <v>909</v>
      </c>
      <c r="EEB21" s="68">
        <f t="shared" si="1101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2"/>
        <v>5805</v>
      </c>
      <c r="EEJ21" s="68">
        <f t="shared" si="1103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4"/>
        <v>3454</v>
      </c>
      <c r="EER21" s="68">
        <f t="shared" si="1105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6"/>
        <v>1710</v>
      </c>
      <c r="EEZ21" s="68">
        <f t="shared" si="1107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8"/>
        <v>4989</v>
      </c>
      <c r="EFH21" s="68">
        <f t="shared" si="1109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10"/>
        <v>5317</v>
      </c>
      <c r="EFP21" s="68">
        <f t="shared" si="1111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2"/>
        <v>3768</v>
      </c>
      <c r="EFX21" s="68">
        <f t="shared" si="1113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4"/>
        <v>2712</v>
      </c>
      <c r="EGF21" s="68">
        <f t="shared" si="1115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6"/>
        <v>3800</v>
      </c>
      <c r="EGN21" s="68">
        <f t="shared" si="1117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8"/>
        <v>3389</v>
      </c>
      <c r="EGV21" s="68">
        <f t="shared" si="1119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20"/>
        <v>4767</v>
      </c>
      <c r="EHD21" s="68">
        <f t="shared" si="1121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2"/>
        <v>4068</v>
      </c>
      <c r="EHL21" s="68">
        <f t="shared" si="1123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4"/>
        <v>2020</v>
      </c>
      <c r="EHT21" s="68">
        <f t="shared" si="1125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6"/>
        <v>4917</v>
      </c>
      <c r="EIB21" s="68">
        <f t="shared" si="1127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8"/>
        <v>1914</v>
      </c>
      <c r="EIJ21" s="68">
        <f t="shared" si="1129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30"/>
        <v>6763</v>
      </c>
      <c r="EIR21" s="68">
        <f t="shared" si="1131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2"/>
        <v>2666</v>
      </c>
      <c r="EIZ21" s="68">
        <f t="shared" si="1133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4"/>
        <v>4629</v>
      </c>
      <c r="EJH21" s="68">
        <f t="shared" si="1135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6"/>
        <v>3183</v>
      </c>
      <c r="EJP21" s="68">
        <f t="shared" si="1137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8"/>
        <v>3751</v>
      </c>
      <c r="EJX21" s="68">
        <f t="shared" si="1139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40"/>
        <v>7093</v>
      </c>
      <c r="EKF21" s="68">
        <f t="shared" si="1141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2"/>
        <v>4366</v>
      </c>
      <c r="EKN21" s="68">
        <f t="shared" si="1143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4"/>
        <v>500</v>
      </c>
      <c r="EKV21" s="68">
        <f t="shared" si="1145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6"/>
        <v>4387</v>
      </c>
      <c r="ELD21" s="68">
        <f t="shared" si="1147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8"/>
        <v>7302</v>
      </c>
      <c r="ELL21" s="184">
        <f t="shared" si="1149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50"/>
        <v>2080</v>
      </c>
      <c r="ELU21" s="211">
        <f t="shared" si="1151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2"/>
        <v>3939</v>
      </c>
      <c r="EMC21" s="211">
        <f t="shared" si="1153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4"/>
        <v>4529</v>
      </c>
      <c r="EMK21" s="211">
        <f t="shared" si="1155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6"/>
        <v>4544</v>
      </c>
      <c r="EMS21" s="211">
        <f t="shared" si="1157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8"/>
        <v>0</v>
      </c>
      <c r="ENA21" s="211">
        <f t="shared" si="1159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60"/>
        <v>6441</v>
      </c>
      <c r="ENI21" s="211">
        <f t="shared" si="1161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2"/>
        <v>3342</v>
      </c>
      <c r="ENQ21" s="211">
        <f t="shared" si="1163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4"/>
        <v>4353</v>
      </c>
      <c r="ENY21" s="211">
        <f t="shared" si="1165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6"/>
        <v>3395</v>
      </c>
      <c r="EOG21" s="211">
        <f t="shared" si="1167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8"/>
        <v>4437</v>
      </c>
      <c r="EOO21" s="211">
        <f t="shared" si="1169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70"/>
        <v>2669</v>
      </c>
      <c r="EOW21" s="211">
        <f t="shared" si="1171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2"/>
        <v>4853</v>
      </c>
      <c r="EPE21" s="211">
        <f t="shared" si="1173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4"/>
        <v>4507</v>
      </c>
      <c r="EPM21" s="211">
        <f t="shared" si="1175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6"/>
        <v>5992</v>
      </c>
      <c r="EPU21" s="211">
        <f t="shared" si="1177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8"/>
        <v>6257</v>
      </c>
      <c r="EQC21" s="211">
        <f t="shared" si="1179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80"/>
        <v>2777</v>
      </c>
      <c r="EQK21" s="211">
        <f t="shared" si="1181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2"/>
        <v>5828</v>
      </c>
      <c r="EQS21" s="211">
        <f t="shared" si="1183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4"/>
        <v>4349</v>
      </c>
      <c r="ERA21" s="211">
        <f t="shared" si="1185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6"/>
        <v>3327</v>
      </c>
      <c r="ERI21" s="211">
        <f t="shared" si="1187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8"/>
        <v>4205</v>
      </c>
      <c r="ERQ21" s="211">
        <f t="shared" si="1189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90"/>
        <v>4837</v>
      </c>
      <c r="ERY21" s="211">
        <f t="shared" si="1191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2"/>
        <v>4505</v>
      </c>
      <c r="ESG21" s="211">
        <f t="shared" si="1193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4"/>
        <v>4217</v>
      </c>
      <c r="ESO21" s="211">
        <f t="shared" si="1195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6"/>
        <v>4894</v>
      </c>
      <c r="ESW21" s="211">
        <f t="shared" si="1197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8"/>
        <v>7206</v>
      </c>
      <c r="ETE21" s="736">
        <f t="shared" si="1199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200"/>
        <v>3905</v>
      </c>
      <c r="ETM21" s="211">
        <f t="shared" si="1201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2"/>
        <v>5022</v>
      </c>
      <c r="ETU21" s="211">
        <f t="shared" si="1203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4"/>
        <v>2462</v>
      </c>
      <c r="EUC21" s="211">
        <f t="shared" si="1205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6"/>
        <v>3868</v>
      </c>
      <c r="EUK21" s="211">
        <f t="shared" si="1207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8"/>
        <v>3566</v>
      </c>
      <c r="EUS21" s="211">
        <f t="shared" si="1209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10"/>
        <v>5001</v>
      </c>
      <c r="EVA21" s="211">
        <f t="shared" si="1211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2"/>
        <v>5061</v>
      </c>
      <c r="EVI21" s="211">
        <f t="shared" si="1213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4"/>
        <v>4277</v>
      </c>
      <c r="EVQ21" s="211">
        <f t="shared" si="1215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6"/>
        <v>2188</v>
      </c>
      <c r="EVY21" s="211">
        <f t="shared" si="1217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8"/>
        <v>5817</v>
      </c>
      <c r="EWG21" s="211">
        <f t="shared" si="1219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20"/>
        <v>6302</v>
      </c>
      <c r="EWO21" s="211">
        <f t="shared" si="1221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2"/>
        <v>0</v>
      </c>
      <c r="EWW21" s="211">
        <f t="shared" si="1223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4"/>
        <v>3353</v>
      </c>
      <c r="EXE21" s="211">
        <f t="shared" si="1225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6"/>
        <v>5070</v>
      </c>
      <c r="EXM21" s="211">
        <f t="shared" si="1227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8"/>
        <v>5027</v>
      </c>
      <c r="EXU21" s="211">
        <f t="shared" si="1229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30"/>
        <v>5188</v>
      </c>
      <c r="EYC21" s="211">
        <f t="shared" si="1231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2"/>
        <v>3870</v>
      </c>
      <c r="EYK21" s="211">
        <f t="shared" si="1233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4"/>
        <v>4513</v>
      </c>
      <c r="EYS21" s="211">
        <f t="shared" si="1235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6"/>
        <v>1932</v>
      </c>
      <c r="EZA21" s="211">
        <f t="shared" si="1237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8"/>
        <v>4217</v>
      </c>
      <c r="EZI21" s="211">
        <f t="shared" si="1239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40"/>
        <v>3669</v>
      </c>
      <c r="EZQ21" s="873">
        <f t="shared" si="1241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2"/>
        <v>3364</v>
      </c>
      <c r="EZY21" s="873">
        <f t="shared" si="1243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4"/>
        <v>3437</v>
      </c>
      <c r="FAG21" s="873">
        <f t="shared" si="1245"/>
        <v>572.83333333333337</v>
      </c>
      <c r="FAH21" s="195">
        <v>1673</v>
      </c>
      <c r="FAI21" s="49">
        <v>1672</v>
      </c>
      <c r="FAJ21" s="49">
        <v>0</v>
      </c>
      <c r="FAK21" s="49">
        <v>0</v>
      </c>
      <c r="FAL21" s="49">
        <v>1723</v>
      </c>
      <c r="FAM21" s="49">
        <v>2233</v>
      </c>
      <c r="FAN21" s="872">
        <f t="shared" si="1246"/>
        <v>7301</v>
      </c>
      <c r="FAO21" s="873">
        <f t="shared" si="1247"/>
        <v>1216.8333333333333</v>
      </c>
      <c r="FAP21" s="195">
        <v>0</v>
      </c>
      <c r="FAQ21" s="49">
        <v>0</v>
      </c>
      <c r="FAR21" s="49"/>
      <c r="FAS21" s="49"/>
      <c r="FAT21" s="49"/>
      <c r="FAU21" s="49"/>
      <c r="FAV21" s="872">
        <f t="shared" si="1248"/>
        <v>0</v>
      </c>
      <c r="FAW21" s="873">
        <f t="shared" si="1249"/>
        <v>0</v>
      </c>
    </row>
    <row r="22" spans="1:4105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3607</v>
      </c>
      <c r="G22" s="24"/>
      <c r="H22" s="24"/>
      <c r="I22" s="24"/>
      <c r="J22" s="360">
        <f>SUMIF(SUMPK!$B:$B,$B:$B,SUMPK!$O:$O)</f>
        <v>782</v>
      </c>
      <c r="K22" s="24"/>
      <c r="L22" s="24">
        <f t="shared" si="569"/>
        <v>2825</v>
      </c>
      <c r="M22" s="24">
        <f t="shared" si="570"/>
        <v>2825</v>
      </c>
      <c r="N22" s="15">
        <v>97.333333333333329</v>
      </c>
      <c r="O22" s="276">
        <f t="shared" si="0"/>
        <v>29.023972602739729</v>
      </c>
      <c r="P22" s="15">
        <v>199.33333333333334</v>
      </c>
      <c r="Q22" s="276">
        <f t="shared" ref="Q22:Q23" si="1263">IF(P22=0,0,M22/P22*6)</f>
        <v>85.033444816053503</v>
      </c>
      <c r="R22" s="277">
        <f t="shared" si="572"/>
        <v>147.69230769230768</v>
      </c>
      <c r="S22" s="222">
        <v>3840</v>
      </c>
      <c r="T22" s="276">
        <f t="shared" si="573"/>
        <v>19.127604166666668</v>
      </c>
      <c r="U22" s="278"/>
      <c r="V22" s="277">
        <f t="shared" si="1"/>
        <v>19.127604166666668</v>
      </c>
      <c r="W22" s="279">
        <f t="shared" si="1252"/>
        <v>1</v>
      </c>
      <c r="X22" s="299"/>
      <c r="Y22" s="280" t="e">
        <f>#REF!+#REF!</f>
        <v>#REF!</v>
      </c>
      <c r="Z22" s="280" t="e">
        <f t="shared" si="1257"/>
        <v>#REF!</v>
      </c>
      <c r="AA22" s="280" t="e">
        <f t="shared" si="1261"/>
        <v>#REF!</v>
      </c>
      <c r="AB22" s="280" t="e">
        <f t="shared" si="1262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4"/>
        <v>4654</v>
      </c>
      <c r="BAV22" s="43">
        <f t="shared" si="575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6"/>
        <v>1099</v>
      </c>
      <c r="BBD22" s="43">
        <f t="shared" si="577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8"/>
        <v>31</v>
      </c>
      <c r="BBL22" s="43">
        <f t="shared" si="579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80"/>
        <v>943</v>
      </c>
      <c r="BBT22" s="43">
        <f t="shared" si="581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2"/>
        <v>861</v>
      </c>
      <c r="BCB22" s="43">
        <f t="shared" si="583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4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5"/>
        <v>503</v>
      </c>
      <c r="BCR22" s="43">
        <f t="shared" si="586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7"/>
        <v>1079</v>
      </c>
      <c r="BCZ22" s="43">
        <f t="shared" si="588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9"/>
        <v>745</v>
      </c>
      <c r="BDH22" s="43">
        <f t="shared" si="590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1"/>
        <v>1845</v>
      </c>
      <c r="BDP22" s="43">
        <f t="shared" si="592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3"/>
        <v>65</v>
      </c>
      <c r="BDX22" s="43">
        <f t="shared" si="594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5"/>
        <v>341</v>
      </c>
      <c r="BEF22" s="43">
        <f t="shared" si="596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7"/>
        <v>309</v>
      </c>
      <c r="BEN22" s="43">
        <f t="shared" si="598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9"/>
        <v>430</v>
      </c>
      <c r="BEV22" s="43">
        <f t="shared" si="600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1"/>
        <v>539</v>
      </c>
      <c r="BFD22" s="43">
        <f t="shared" si="602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3"/>
        <v>709</v>
      </c>
      <c r="BFL22" s="68">
        <f t="shared" si="604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5"/>
        <v>1623</v>
      </c>
      <c r="BFT22" s="68">
        <f t="shared" si="606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7"/>
        <v>1137</v>
      </c>
      <c r="BGB22" s="68">
        <f t="shared" si="608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9"/>
        <v>2324</v>
      </c>
      <c r="BGJ22" s="68">
        <f t="shared" si="610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1"/>
        <v>1071</v>
      </c>
      <c r="BGR22" s="68">
        <f t="shared" si="612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3"/>
        <v>532</v>
      </c>
      <c r="BGZ22" s="68">
        <f t="shared" si="614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5"/>
        <v>684</v>
      </c>
      <c r="BHH22" s="68">
        <f t="shared" si="616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7"/>
        <v>1720</v>
      </c>
      <c r="BHP22" s="184">
        <f t="shared" si="618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9"/>
        <v>582</v>
      </c>
      <c r="BHX22" s="211">
        <f t="shared" si="620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1"/>
        <v>1153</v>
      </c>
      <c r="BIF22" s="184">
        <f t="shared" si="622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3"/>
        <v>1516</v>
      </c>
      <c r="BIN22" s="184">
        <f t="shared" si="624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5"/>
        <v>1994</v>
      </c>
      <c r="BIV22" s="211">
        <f t="shared" si="626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7"/>
        <v>1026</v>
      </c>
      <c r="BJD22" s="211">
        <f t="shared" si="628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9"/>
        <v>2066</v>
      </c>
      <c r="BJL22" s="211">
        <f t="shared" si="630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1"/>
        <v>1917</v>
      </c>
      <c r="BJT22" s="184">
        <f t="shared" si="632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3"/>
        <v>2057</v>
      </c>
      <c r="BKB22" s="184">
        <f t="shared" si="634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5"/>
        <v>1420</v>
      </c>
      <c r="BKJ22" s="184">
        <f t="shared" si="636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7"/>
        <v>563</v>
      </c>
      <c r="BKR22" s="184">
        <f t="shared" si="638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9"/>
        <v>540</v>
      </c>
      <c r="BKZ22" s="211">
        <f t="shared" si="640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1"/>
        <v>1064</v>
      </c>
      <c r="BLH22" s="211">
        <f t="shared" si="642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3"/>
        <v>130</v>
      </c>
      <c r="BLP22" s="184">
        <f t="shared" si="644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5"/>
        <v>2077</v>
      </c>
      <c r="BLX22" s="184">
        <f t="shared" si="646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7"/>
        <v>697</v>
      </c>
      <c r="BMF22" s="68">
        <f t="shared" si="648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9"/>
        <v>1481</v>
      </c>
      <c r="BMN22" s="68">
        <f t="shared" si="650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1"/>
        <v>396</v>
      </c>
      <c r="BMV22" s="68">
        <f t="shared" si="652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3"/>
        <v>1409</v>
      </c>
      <c r="BND22" s="68">
        <f t="shared" si="654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5"/>
        <v>406</v>
      </c>
      <c r="BNL22" s="68">
        <f t="shared" si="656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7"/>
        <v>1700</v>
      </c>
      <c r="BNT22" s="68">
        <f t="shared" si="658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9"/>
        <v>335</v>
      </c>
      <c r="BOB22" s="184">
        <f t="shared" si="660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1"/>
        <v>1157</v>
      </c>
      <c r="BOJ22" s="184">
        <f t="shared" si="662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3"/>
        <v>913</v>
      </c>
      <c r="BOR22" s="68">
        <f t="shared" si="664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5"/>
        <v>1824</v>
      </c>
      <c r="BOZ22" s="68">
        <f t="shared" si="666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7"/>
        <v>1863</v>
      </c>
      <c r="BPH22" s="68">
        <f t="shared" si="668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9"/>
        <v>700</v>
      </c>
      <c r="BPP22" s="68">
        <f t="shared" si="670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1"/>
        <v>2482</v>
      </c>
      <c r="BPX22" s="68">
        <f t="shared" si="672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3"/>
        <v>1244</v>
      </c>
      <c r="BQF22" s="68">
        <f t="shared" si="674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5"/>
        <v>1087</v>
      </c>
      <c r="BQN22" s="68">
        <f t="shared" si="676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7"/>
        <v>132</v>
      </c>
      <c r="BQV22" s="68">
        <f t="shared" si="678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9"/>
        <v>1193</v>
      </c>
      <c r="BRD22" s="68">
        <f t="shared" si="680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1"/>
        <v>157</v>
      </c>
      <c r="BRL22" s="68">
        <f t="shared" si="682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3"/>
        <v>1951</v>
      </c>
      <c r="BRT22" s="68">
        <f t="shared" si="684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5"/>
        <v>178</v>
      </c>
      <c r="BSB22" s="68">
        <f t="shared" si="686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7"/>
        <v>3126</v>
      </c>
      <c r="BSJ22" s="68">
        <f t="shared" si="688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9"/>
        <v>347</v>
      </c>
      <c r="BSR22" s="68">
        <f t="shared" si="690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1"/>
        <v>3124</v>
      </c>
      <c r="BSZ22" s="68">
        <f t="shared" si="692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3"/>
        <v>1505</v>
      </c>
      <c r="BTH22" s="68">
        <f t="shared" si="694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5"/>
        <v>1823</v>
      </c>
      <c r="BTP22" s="68">
        <f t="shared" si="696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7"/>
        <v>226</v>
      </c>
      <c r="BTX22" s="184">
        <f t="shared" si="698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9"/>
        <v>240</v>
      </c>
      <c r="BUF22" s="184">
        <f t="shared" si="700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1"/>
        <v>151</v>
      </c>
      <c r="BUN22" s="211">
        <f t="shared" si="702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3"/>
        <v>412</v>
      </c>
      <c r="BUV22" s="211">
        <f t="shared" si="704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5"/>
        <v>1352</v>
      </c>
      <c r="BVD22" s="211">
        <f t="shared" si="706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7"/>
        <v>2330</v>
      </c>
      <c r="BVL22" s="184">
        <f t="shared" si="708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9"/>
        <v>1490</v>
      </c>
      <c r="BVT22" s="211">
        <f t="shared" si="710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1"/>
        <v>623</v>
      </c>
      <c r="BWB22" s="184">
        <f t="shared" si="712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3"/>
        <v>3075</v>
      </c>
      <c r="BWJ22" s="184">
        <f t="shared" si="714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5"/>
        <v>758</v>
      </c>
      <c r="BWR22" s="211">
        <f t="shared" si="716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7"/>
        <v>1544</v>
      </c>
      <c r="BWZ22" s="211">
        <f t="shared" si="718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9"/>
        <v>379</v>
      </c>
      <c r="BXH22" s="211">
        <f t="shared" si="720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1"/>
        <v>1001</v>
      </c>
      <c r="BXP22" s="184">
        <f t="shared" si="722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3"/>
        <v>1347</v>
      </c>
      <c r="BXX22" s="184">
        <f t="shared" si="724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5"/>
        <v>1436</v>
      </c>
      <c r="BYF22" s="211">
        <f t="shared" si="726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7"/>
        <v>1295</v>
      </c>
      <c r="BYN22" s="184">
        <f t="shared" si="728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9"/>
        <v>1645</v>
      </c>
      <c r="BYV22" s="211">
        <f t="shared" si="730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1"/>
        <v>1511</v>
      </c>
      <c r="BZD22" s="184">
        <f t="shared" si="732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3"/>
        <v>1246</v>
      </c>
      <c r="BZL22" s="184">
        <f t="shared" si="734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5"/>
        <v>410</v>
      </c>
      <c r="BZT22" s="68">
        <f t="shared" si="736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7"/>
        <v>2178</v>
      </c>
      <c r="CAB22" s="68">
        <f t="shared" si="738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9"/>
        <v>513</v>
      </c>
      <c r="CAJ22" s="68">
        <f t="shared" si="740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1"/>
        <v>2981</v>
      </c>
      <c r="CAR22" s="184">
        <f t="shared" si="742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3"/>
        <v>864</v>
      </c>
      <c r="CAZ22" s="211">
        <f t="shared" si="744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5"/>
        <v>1406</v>
      </c>
      <c r="CBH22" s="211">
        <f t="shared" si="746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7"/>
        <v>852</v>
      </c>
      <c r="CBP22" s="184">
        <f t="shared" si="748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9"/>
        <v>52</v>
      </c>
      <c r="CBX22" s="68">
        <f t="shared" si="750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1"/>
        <v>1501</v>
      </c>
      <c r="CCF22" s="68">
        <f t="shared" si="752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3"/>
        <v>2318</v>
      </c>
      <c r="CCN22" s="68">
        <f t="shared" si="754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5"/>
        <v>1174</v>
      </c>
      <c r="CCV22" s="68">
        <f t="shared" si="756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7"/>
        <v>683</v>
      </c>
      <c r="CDD22" s="68">
        <f t="shared" si="758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9"/>
        <v>1061</v>
      </c>
      <c r="CDL22" s="68">
        <f t="shared" si="760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1"/>
        <v>644</v>
      </c>
      <c r="CDT22" s="68">
        <f t="shared" si="762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3"/>
        <v>3235</v>
      </c>
      <c r="CEB22" s="68">
        <f t="shared" si="764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5"/>
        <v>1290</v>
      </c>
      <c r="CEJ22" s="68">
        <f t="shared" si="766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7"/>
        <v>869</v>
      </c>
      <c r="CER22" s="68">
        <f t="shared" si="768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9"/>
        <v>1940</v>
      </c>
      <c r="CEZ22" s="68">
        <f t="shared" si="770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1"/>
        <v>541</v>
      </c>
      <c r="CFH22" s="68">
        <f t="shared" si="772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3"/>
        <v>2472</v>
      </c>
      <c r="CFP22" s="68">
        <f t="shared" si="774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5"/>
        <v>2589</v>
      </c>
      <c r="CFX22" s="68">
        <f t="shared" si="776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7"/>
        <v>721</v>
      </c>
      <c r="CGF22" s="68">
        <f t="shared" si="778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9"/>
        <v>1342</v>
      </c>
      <c r="CGN22" s="68">
        <f t="shared" si="780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1"/>
        <v>2504</v>
      </c>
      <c r="CGV22" s="68">
        <f t="shared" si="782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3"/>
        <v>1639</v>
      </c>
      <c r="CHD22" s="68">
        <f t="shared" si="784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5"/>
        <v>1141</v>
      </c>
      <c r="CHL22" s="68">
        <f t="shared" si="786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7"/>
        <v>1110</v>
      </c>
      <c r="CHT22" s="68">
        <f t="shared" si="788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9"/>
        <v>1636</v>
      </c>
      <c r="CIB22" s="68">
        <f t="shared" si="790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1"/>
        <v>144</v>
      </c>
      <c r="CIJ22" s="68">
        <f t="shared" si="792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3"/>
        <v>1380</v>
      </c>
      <c r="CIR22" s="68">
        <f t="shared" si="794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5"/>
        <v>1688</v>
      </c>
      <c r="CIZ22" s="68">
        <f t="shared" si="796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7"/>
        <v>1449</v>
      </c>
      <c r="CJH22" s="68">
        <f t="shared" si="798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9"/>
        <v>737</v>
      </c>
      <c r="CJP22" s="68">
        <f t="shared" si="800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1"/>
        <v>1401</v>
      </c>
      <c r="CJX22" s="68">
        <f t="shared" si="802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3"/>
        <v>1131</v>
      </c>
      <c r="CKF22" s="68">
        <f t="shared" si="804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5"/>
        <v>1583</v>
      </c>
      <c r="CKN22" s="68">
        <f t="shared" si="806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7"/>
        <v>2180</v>
      </c>
      <c r="CKV22" s="68">
        <f t="shared" si="808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9"/>
        <v>10</v>
      </c>
      <c r="CLD22" s="68">
        <f t="shared" si="810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1"/>
        <v>2606</v>
      </c>
      <c r="CLL22" s="68">
        <f t="shared" si="812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3"/>
        <v>646</v>
      </c>
      <c r="CLT22" s="184">
        <f t="shared" si="814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5"/>
        <v>1221</v>
      </c>
      <c r="CMB22" s="68">
        <f t="shared" si="816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7"/>
        <v>2554</v>
      </c>
      <c r="CMJ22" s="68">
        <f t="shared" si="818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9"/>
        <v>1627</v>
      </c>
      <c r="CMR22" s="68">
        <f t="shared" si="820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1"/>
        <v>760</v>
      </c>
      <c r="CMZ22" s="68">
        <f t="shared" si="822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3"/>
        <v>1107</v>
      </c>
      <c r="CNH22" s="68">
        <f t="shared" si="824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5"/>
        <v>1288</v>
      </c>
      <c r="CNP22" s="68">
        <f t="shared" si="826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7"/>
        <v>1791</v>
      </c>
      <c r="CNX22" s="68">
        <f t="shared" si="828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9"/>
        <v>1199</v>
      </c>
      <c r="COF22" s="68">
        <f t="shared" si="830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1"/>
        <v>1830</v>
      </c>
      <c r="CON22" s="68">
        <f t="shared" si="832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3"/>
        <v>1635</v>
      </c>
      <c r="COV22" s="68">
        <f t="shared" si="834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5"/>
        <v>1473</v>
      </c>
      <c r="CPD22" s="68">
        <f t="shared" si="836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7"/>
        <v>1393</v>
      </c>
      <c r="CPL22" s="68">
        <f t="shared" si="838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9"/>
        <v>2264</v>
      </c>
      <c r="CPT22" s="68">
        <f t="shared" si="840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1"/>
        <v>756</v>
      </c>
      <c r="CQB22" s="68">
        <f t="shared" si="842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3"/>
        <v>0</v>
      </c>
      <c r="CQJ22" s="68">
        <f t="shared" si="844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5"/>
        <v>2307</v>
      </c>
      <c r="CQR22" s="68">
        <f t="shared" si="846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782</v>
      </c>
      <c r="CQX22" s="49">
        <v>1106</v>
      </c>
      <c r="CQY22" s="67">
        <f t="shared" si="847"/>
        <v>3047</v>
      </c>
      <c r="CQZ22" s="68">
        <f t="shared" si="848"/>
        <v>507.83333333333331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9"/>
        <v>1402</v>
      </c>
      <c r="CRH22" s="68">
        <f t="shared" si="850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1"/>
        <v>108</v>
      </c>
      <c r="CRP22" s="68">
        <f t="shared" si="852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3"/>
        <v>1213</v>
      </c>
      <c r="CRX22" s="68">
        <f t="shared" si="854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50"/>
        <v>1488</v>
      </c>
      <c r="CSF22" s="68">
        <f t="shared" si="1251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7"/>
        <v>4329</v>
      </c>
      <c r="CSN22" s="68">
        <f t="shared" si="858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9"/>
        <v>412</v>
      </c>
      <c r="CSV22" s="68">
        <f t="shared" si="860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1"/>
        <v>0</v>
      </c>
      <c r="CTD22" s="68">
        <f t="shared" si="862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3"/>
        <v>0</v>
      </c>
      <c r="CTL22" s="68">
        <f t="shared" si="864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5"/>
        <v>59</v>
      </c>
      <c r="CTT22" s="68">
        <f t="shared" si="866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7"/>
        <v>336</v>
      </c>
      <c r="CUB22" s="68">
        <f t="shared" si="868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9"/>
        <v>1204</v>
      </c>
      <c r="CUJ22" s="68">
        <f t="shared" si="870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1"/>
        <v>1221</v>
      </c>
      <c r="CUR22" s="68">
        <f t="shared" si="872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3"/>
        <v>1295</v>
      </c>
      <c r="CUZ22" s="68">
        <f t="shared" si="874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5"/>
        <v>715</v>
      </c>
      <c r="CVH22" s="68">
        <f t="shared" si="876"/>
        <v>119.16666666666667</v>
      </c>
      <c r="CVI22" s="48">
        <v>204</v>
      </c>
      <c r="CVJ22" s="49">
        <f>SUMIF(SUMPK!$B:$B,$B:$B,SUMPK!$O:$O)</f>
        <v>782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7"/>
        <v>2394</v>
      </c>
      <c r="CVP22" s="68">
        <f t="shared" si="878"/>
        <v>399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9"/>
        <v>1236</v>
      </c>
      <c r="CVX22" s="68">
        <f t="shared" si="880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1"/>
        <v>1021</v>
      </c>
      <c r="CWF22" s="68">
        <f t="shared" si="882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3"/>
        <v>3000</v>
      </c>
      <c r="CWN22" s="68">
        <f t="shared" si="884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5"/>
        <v>804</v>
      </c>
      <c r="CWV22" s="43">
        <f t="shared" si="886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7"/>
        <v>1664</v>
      </c>
      <c r="CXD22" s="43">
        <f t="shared" si="888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9"/>
        <v>1426</v>
      </c>
      <c r="CXL22" s="43">
        <f t="shared" si="890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1"/>
        <v>597</v>
      </c>
      <c r="CXT22" s="43">
        <f t="shared" si="892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3"/>
        <v>1377</v>
      </c>
      <c r="CYB22" s="43">
        <f t="shared" si="894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5"/>
        <v>1077</v>
      </c>
      <c r="CYJ22" s="43">
        <f t="shared" si="896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7"/>
        <v>2847</v>
      </c>
      <c r="CYR22" s="43">
        <f t="shared" si="898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9"/>
        <v>1380</v>
      </c>
      <c r="CYZ22" s="43">
        <f t="shared" si="900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1"/>
        <v>846</v>
      </c>
      <c r="CZH22" s="43">
        <f t="shared" si="902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3"/>
        <v>1418</v>
      </c>
      <c r="CZP22" s="43">
        <f t="shared" si="904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5"/>
        <v>1532</v>
      </c>
      <c r="CZX22" s="43">
        <f t="shared" si="906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7"/>
        <v>906</v>
      </c>
      <c r="DAF22" s="43">
        <f t="shared" si="908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9"/>
        <v>1553</v>
      </c>
      <c r="DAN22" s="43">
        <f t="shared" si="910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1"/>
        <v>1076</v>
      </c>
      <c r="DAV22" s="68">
        <f t="shared" si="912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3"/>
        <v>2267</v>
      </c>
      <c r="DBD22" s="68">
        <f t="shared" si="914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5"/>
        <v>230</v>
      </c>
      <c r="DBL22" s="68">
        <f t="shared" si="916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7"/>
        <v>124</v>
      </c>
      <c r="DBT22" s="68">
        <f t="shared" si="918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9"/>
        <v>2345</v>
      </c>
      <c r="DCB22" s="184">
        <f t="shared" si="920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1"/>
        <v>988</v>
      </c>
      <c r="DCJ22" s="211">
        <f t="shared" si="922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3"/>
        <v>1471</v>
      </c>
      <c r="DCR22" s="211">
        <f t="shared" si="924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5"/>
        <v>1052</v>
      </c>
      <c r="DCZ22" s="184">
        <f t="shared" si="926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7"/>
        <v>1459</v>
      </c>
      <c r="DDH22" s="211">
        <f t="shared" si="928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9"/>
        <v>1160</v>
      </c>
      <c r="DDP22" s="184">
        <f t="shared" si="930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1"/>
        <v>1819</v>
      </c>
      <c r="DDX22" s="211">
        <f t="shared" si="932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3"/>
        <v>1648</v>
      </c>
      <c r="DEF22" s="214">
        <f t="shared" si="934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5"/>
        <v>871</v>
      </c>
      <c r="DEN22" s="101">
        <f t="shared" si="936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7"/>
        <v>1214</v>
      </c>
      <c r="DEV22" s="101">
        <f t="shared" si="938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9"/>
        <v>648</v>
      </c>
      <c r="DFD22" s="43">
        <f t="shared" si="940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1"/>
        <v>2528</v>
      </c>
      <c r="DFL22" s="43">
        <f t="shared" si="942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3"/>
        <v>337</v>
      </c>
      <c r="DFT22" s="43">
        <f t="shared" si="944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5"/>
        <v>1141</v>
      </c>
      <c r="DGB22" s="43">
        <f t="shared" si="946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7"/>
        <v>1925</v>
      </c>
      <c r="DGJ22" s="68">
        <f t="shared" si="948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9"/>
        <v>481</v>
      </c>
      <c r="DGR22" s="68">
        <f t="shared" si="950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1"/>
        <v>421</v>
      </c>
      <c r="DGZ22" s="68">
        <f t="shared" si="952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3"/>
        <v>1423</v>
      </c>
      <c r="DHH22" s="68">
        <f t="shared" si="954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5"/>
        <v>1305</v>
      </c>
      <c r="DHP22" s="68">
        <f t="shared" si="956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7"/>
        <v>1435</v>
      </c>
      <c r="DHX22" s="68">
        <f t="shared" si="958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9"/>
        <v>866</v>
      </c>
      <c r="DIF22" s="68">
        <f t="shared" si="960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1"/>
        <v>808</v>
      </c>
      <c r="DIN22" s="68">
        <f t="shared" si="962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3"/>
        <v>989</v>
      </c>
      <c r="DIV22" s="68">
        <f t="shared" si="964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5"/>
        <v>716</v>
      </c>
      <c r="DJD22" s="68">
        <f t="shared" si="966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7"/>
        <v>2132</v>
      </c>
      <c r="DJL22" s="68">
        <f t="shared" si="968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9"/>
        <v>1297</v>
      </c>
      <c r="DJT22" s="68">
        <f t="shared" si="970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1"/>
        <v>1228</v>
      </c>
      <c r="DKB22" s="68">
        <f t="shared" si="972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3"/>
        <v>1047</v>
      </c>
      <c r="DKJ22" s="68">
        <f t="shared" si="974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5"/>
        <v>3015</v>
      </c>
      <c r="DKR22" s="68">
        <f t="shared" si="976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7"/>
        <v>3251</v>
      </c>
      <c r="DKZ22" s="68">
        <f t="shared" si="978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9"/>
        <v>617</v>
      </c>
      <c r="DLH22" s="68">
        <f t="shared" si="980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1"/>
        <v>899</v>
      </c>
      <c r="DLP22" s="68">
        <f t="shared" si="982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3"/>
        <v>2247</v>
      </c>
      <c r="DLX22" s="68">
        <f t="shared" si="984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5"/>
        <v>1149</v>
      </c>
      <c r="DMF22" s="68">
        <f t="shared" si="986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7"/>
        <v>504</v>
      </c>
      <c r="DMN22" s="68">
        <f t="shared" si="988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9"/>
        <v>2786</v>
      </c>
      <c r="DMV22" s="68">
        <f t="shared" si="990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1"/>
        <v>2238</v>
      </c>
      <c r="DND22" s="68">
        <f t="shared" si="992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3"/>
        <v>810</v>
      </c>
      <c r="DNL22" s="68">
        <f t="shared" si="994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5"/>
        <v>782</v>
      </c>
      <c r="DNT22" s="68">
        <f t="shared" si="996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7"/>
        <v>0</v>
      </c>
      <c r="DOB22" s="68">
        <f t="shared" si="998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9"/>
        <v>1408</v>
      </c>
      <c r="DOJ22" s="68">
        <f t="shared" si="1000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1"/>
        <v>1749</v>
      </c>
      <c r="DOR22" s="68">
        <f t="shared" si="1002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3"/>
        <v>1823</v>
      </c>
      <c r="DOZ22" s="68">
        <f t="shared" si="1004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5"/>
        <v>334</v>
      </c>
      <c r="DPH22" s="68">
        <f t="shared" si="1006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7"/>
        <v>2333</v>
      </c>
      <c r="DPP22" s="68">
        <f t="shared" si="1008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9"/>
        <v>1226</v>
      </c>
      <c r="DPX22" s="68">
        <f t="shared" si="1010"/>
        <v>204.33333333333334</v>
      </c>
      <c r="DPY22" s="63">
        <v>90</v>
      </c>
      <c r="DPZ22" s="64">
        <v>0</v>
      </c>
      <c r="DQA22" s="64">
        <f>SUMIF(SUMPK!$B:$B,$B:$B,SUMPK!$O:$O)</f>
        <v>782</v>
      </c>
      <c r="DQB22" s="64">
        <v>0</v>
      </c>
      <c r="DQC22" s="64">
        <v>0</v>
      </c>
      <c r="DQD22" s="64">
        <v>781</v>
      </c>
      <c r="DQE22" s="64">
        <f t="shared" si="1011"/>
        <v>1653</v>
      </c>
      <c r="DQF22" s="68">
        <f t="shared" si="1012"/>
        <v>275.5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3"/>
        <v>351</v>
      </c>
      <c r="DQN22" s="68">
        <f t="shared" si="1014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5"/>
        <v>3318</v>
      </c>
      <c r="DQV22" s="68">
        <f t="shared" si="1016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7"/>
        <v>2069</v>
      </c>
      <c r="DRD22" s="68">
        <f t="shared" si="1018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9"/>
        <v>512</v>
      </c>
      <c r="DRL22" s="68">
        <f t="shared" si="1020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1"/>
        <v>1429</v>
      </c>
      <c r="DRT22" s="68">
        <f t="shared" si="1022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3"/>
        <v>1017</v>
      </c>
      <c r="DSB22" s="68">
        <f t="shared" si="1024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5"/>
        <v>1368</v>
      </c>
      <c r="DSJ22" s="68">
        <f t="shared" si="1026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7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8"/>
        <v>1834</v>
      </c>
      <c r="DSZ22" s="68">
        <f t="shared" si="1029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30"/>
        <v>1916</v>
      </c>
      <c r="DTH22" s="68">
        <f t="shared" si="1031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2"/>
        <v>1583</v>
      </c>
      <c r="DTP22" s="68">
        <f t="shared" si="1033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4"/>
        <v>1257</v>
      </c>
      <c r="DTX22" s="68">
        <f t="shared" si="1035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6"/>
        <v>1314</v>
      </c>
      <c r="DUF22" s="68">
        <f t="shared" si="1037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8"/>
        <v>2367</v>
      </c>
      <c r="DUN22" s="68">
        <f t="shared" si="1039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40"/>
        <v>1679</v>
      </c>
      <c r="DUV22" s="68">
        <f t="shared" si="1041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2"/>
        <v>760</v>
      </c>
      <c r="DVD22" s="68">
        <f t="shared" si="1043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4"/>
        <v>2393</v>
      </c>
      <c r="DVL22" s="68">
        <f t="shared" si="1045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6"/>
        <v>1000</v>
      </c>
      <c r="DVT22" s="68">
        <f t="shared" si="1047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8"/>
        <v>1</v>
      </c>
      <c r="DWB22" s="68">
        <f t="shared" si="1049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50"/>
        <v>1945</v>
      </c>
      <c r="DWJ22" s="68">
        <f t="shared" si="1051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2"/>
        <v>1697</v>
      </c>
      <c r="DWR22" s="68">
        <f t="shared" si="1053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4"/>
        <v>541</v>
      </c>
      <c r="DWZ22" s="68">
        <f t="shared" si="1055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6"/>
        <v>1860</v>
      </c>
      <c r="DXH22" s="68">
        <f t="shared" si="1057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8"/>
        <v>2088</v>
      </c>
      <c r="DXP22" s="68">
        <f t="shared" si="1059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60"/>
        <v>1739</v>
      </c>
      <c r="DXX22" s="68">
        <f t="shared" si="1061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2"/>
        <v>1158</v>
      </c>
      <c r="DYF22" s="68">
        <f t="shared" si="1063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4"/>
        <v>1948</v>
      </c>
      <c r="DYN22" s="68">
        <f t="shared" si="1065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6"/>
        <v>708</v>
      </c>
      <c r="DYV22" s="68">
        <f t="shared" si="1067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8"/>
        <v>263</v>
      </c>
      <c r="DZD22" s="68">
        <f t="shared" si="1069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70"/>
        <v>1030</v>
      </c>
      <c r="DZL22" s="68">
        <f t="shared" si="1071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2"/>
        <v>918</v>
      </c>
      <c r="DZT22" s="68">
        <f t="shared" si="1073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4"/>
        <v>459</v>
      </c>
      <c r="EAB22" s="68">
        <f t="shared" si="1075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6"/>
        <v>1211</v>
      </c>
      <c r="EAJ22" s="68">
        <f t="shared" si="1077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8"/>
        <v>433</v>
      </c>
      <c r="EAR22" s="68">
        <f t="shared" si="1079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80"/>
        <v>2030</v>
      </c>
      <c r="EAZ22" s="68">
        <f t="shared" si="1081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2"/>
        <v>1910</v>
      </c>
      <c r="EBH22" s="68">
        <f t="shared" si="1083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4"/>
        <v>2181</v>
      </c>
      <c r="EBP22" s="68">
        <f t="shared" si="1085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6"/>
        <v>1956</v>
      </c>
      <c r="EBX22" s="68">
        <f t="shared" si="1087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8"/>
        <v>382</v>
      </c>
      <c r="ECF22" s="68">
        <f t="shared" si="1089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90"/>
        <v>321</v>
      </c>
      <c r="ECN22" s="68">
        <f t="shared" si="1091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2"/>
        <v>1621</v>
      </c>
      <c r="ECV22" s="68">
        <f t="shared" si="1093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4"/>
        <v>938</v>
      </c>
      <c r="EDD22" s="68">
        <f t="shared" si="1095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6"/>
        <v>1166</v>
      </c>
      <c r="EDL22" s="68">
        <f t="shared" si="1097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8"/>
        <v>1133</v>
      </c>
      <c r="EDT22" s="68">
        <f t="shared" si="1099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100"/>
        <v>2015</v>
      </c>
      <c r="EEB22" s="68">
        <f t="shared" si="1101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2"/>
        <v>997</v>
      </c>
      <c r="EEJ22" s="68">
        <f t="shared" si="1103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4"/>
        <v>1235</v>
      </c>
      <c r="EER22" s="68">
        <f t="shared" si="1105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6"/>
        <v>1810</v>
      </c>
      <c r="EEZ22" s="68">
        <f t="shared" si="1107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8"/>
        <v>960</v>
      </c>
      <c r="EFH22" s="68">
        <f t="shared" si="1109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10"/>
        <v>30</v>
      </c>
      <c r="EFP22" s="68">
        <f t="shared" si="1111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2"/>
        <v>3507</v>
      </c>
      <c r="EFX22" s="68">
        <f t="shared" si="1113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4"/>
        <v>1691</v>
      </c>
      <c r="EGF22" s="68">
        <f t="shared" si="1115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6"/>
        <v>819</v>
      </c>
      <c r="EGN22" s="68">
        <f t="shared" si="1117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8"/>
        <v>992</v>
      </c>
      <c r="EGV22" s="68">
        <f t="shared" si="1119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20"/>
        <v>1258</v>
      </c>
      <c r="EHD22" s="68">
        <f t="shared" si="1121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2"/>
        <v>1176</v>
      </c>
      <c r="EHL22" s="68">
        <f t="shared" si="1123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4"/>
        <v>613</v>
      </c>
      <c r="EHT22" s="68">
        <f t="shared" si="1125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6"/>
        <v>1222</v>
      </c>
      <c r="EIB22" s="68">
        <f t="shared" si="1127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8"/>
        <v>506</v>
      </c>
      <c r="EIJ22" s="68">
        <f t="shared" si="1129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30"/>
        <v>1540</v>
      </c>
      <c r="EIR22" s="68">
        <f t="shared" si="1131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2"/>
        <v>1009</v>
      </c>
      <c r="EIZ22" s="68">
        <f t="shared" si="1133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4"/>
        <v>60</v>
      </c>
      <c r="EJH22" s="68">
        <f t="shared" si="1135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6"/>
        <v>1978</v>
      </c>
      <c r="EJP22" s="68">
        <f t="shared" si="1137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8"/>
        <v>1452</v>
      </c>
      <c r="EJX22" s="68">
        <f t="shared" si="1139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40"/>
        <v>622</v>
      </c>
      <c r="EKF22" s="68">
        <f t="shared" si="1141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2"/>
        <v>260</v>
      </c>
      <c r="EKN22" s="68">
        <f t="shared" si="1143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4"/>
        <v>1092</v>
      </c>
      <c r="EKV22" s="68">
        <f t="shared" si="1145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6"/>
        <v>937</v>
      </c>
      <c r="ELD22" s="68">
        <f t="shared" si="1147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8"/>
        <v>1276</v>
      </c>
      <c r="ELL22" s="184">
        <f t="shared" si="1149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50"/>
        <v>2378</v>
      </c>
      <c r="ELU22" s="211">
        <f t="shared" si="1151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2"/>
        <v>817</v>
      </c>
      <c r="EMC22" s="211">
        <f t="shared" si="1153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4"/>
        <v>812</v>
      </c>
      <c r="EMK22" s="211">
        <f t="shared" si="1155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6"/>
        <v>398</v>
      </c>
      <c r="EMS22" s="211">
        <f t="shared" si="1157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8"/>
        <v>919</v>
      </c>
      <c r="ENA22" s="211">
        <f t="shared" si="1159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60"/>
        <v>571</v>
      </c>
      <c r="ENI22" s="211">
        <f t="shared" si="1161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2"/>
        <v>1044</v>
      </c>
      <c r="ENQ22" s="211">
        <f t="shared" si="1163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4"/>
        <v>1475</v>
      </c>
      <c r="ENY22" s="211">
        <f t="shared" si="1165"/>
        <v>245.83333333333334</v>
      </c>
      <c r="ENZ22" s="244">
        <f>SUMIF(SUMPK!$B:$B,$B:$B,SUMPK!$O:$O)</f>
        <v>782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6"/>
        <v>1961</v>
      </c>
      <c r="EOG22" s="211">
        <f t="shared" si="1167"/>
        <v>326.83333333333331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8"/>
        <v>1345</v>
      </c>
      <c r="EOO22" s="211">
        <f t="shared" si="1169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70"/>
        <v>936</v>
      </c>
      <c r="EOW22" s="211">
        <f t="shared" si="1171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2"/>
        <v>503</v>
      </c>
      <c r="EPE22" s="211">
        <f t="shared" si="1173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4"/>
        <v>1160</v>
      </c>
      <c r="EPM22" s="211">
        <f t="shared" si="1175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6"/>
        <v>703</v>
      </c>
      <c r="EPU22" s="211">
        <f t="shared" si="1177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8"/>
        <v>1020</v>
      </c>
      <c r="EQC22" s="211">
        <f t="shared" si="1179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80"/>
        <v>937</v>
      </c>
      <c r="EQK22" s="211">
        <f t="shared" si="1181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2"/>
        <v>538</v>
      </c>
      <c r="EQS22" s="211">
        <f t="shared" si="1183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4"/>
        <v>1516</v>
      </c>
      <c r="ERA22" s="211">
        <f t="shared" si="1185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6"/>
        <v>1132</v>
      </c>
      <c r="ERI22" s="211">
        <f t="shared" si="1187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8"/>
        <v>951</v>
      </c>
      <c r="ERQ22" s="211">
        <f t="shared" si="1189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90"/>
        <v>514</v>
      </c>
      <c r="ERY22" s="211">
        <f t="shared" si="1191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2"/>
        <v>673</v>
      </c>
      <c r="ESG22" s="211">
        <f t="shared" si="1193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4"/>
        <v>1452</v>
      </c>
      <c r="ESO22" s="211">
        <f t="shared" si="1195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6"/>
        <v>888</v>
      </c>
      <c r="ESW22" s="211">
        <f t="shared" si="1197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8"/>
        <v>320</v>
      </c>
      <c r="ETE22" s="736">
        <f t="shared" si="1199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200"/>
        <v>1055</v>
      </c>
      <c r="ETM22" s="211">
        <f t="shared" si="1201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2"/>
        <v>1332</v>
      </c>
      <c r="ETU22" s="211">
        <f t="shared" si="1203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4"/>
        <v>149</v>
      </c>
      <c r="EUC22" s="211">
        <f t="shared" si="1205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6"/>
        <v>191</v>
      </c>
      <c r="EUK22" s="211">
        <f t="shared" si="1207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8"/>
        <v>1389</v>
      </c>
      <c r="EUS22" s="211">
        <f t="shared" si="1209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10"/>
        <v>1201</v>
      </c>
      <c r="EVA22" s="211">
        <f t="shared" si="1211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2"/>
        <v>1140</v>
      </c>
      <c r="EVI22" s="211">
        <f t="shared" si="1213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4"/>
        <v>1305</v>
      </c>
      <c r="EVQ22" s="211">
        <f t="shared" si="1215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6"/>
        <v>637</v>
      </c>
      <c r="EVY22" s="211">
        <f t="shared" si="1217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8"/>
        <v>1199</v>
      </c>
      <c r="EWG22" s="211">
        <f t="shared" si="1219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20"/>
        <v>891</v>
      </c>
      <c r="EWO22" s="211">
        <f t="shared" si="1221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2"/>
        <v>363</v>
      </c>
      <c r="EWW22" s="211">
        <f t="shared" si="1223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4"/>
        <v>626</v>
      </c>
      <c r="EXE22" s="211">
        <f t="shared" si="1225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6"/>
        <v>989</v>
      </c>
      <c r="EXM22" s="211">
        <f t="shared" si="1227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8"/>
        <v>555</v>
      </c>
      <c r="EXU22" s="211">
        <f t="shared" si="1229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30"/>
        <v>1131</v>
      </c>
      <c r="EYC22" s="211">
        <f t="shared" si="1231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2"/>
        <v>2087</v>
      </c>
      <c r="EYK22" s="211">
        <f t="shared" si="1233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4"/>
        <v>193</v>
      </c>
      <c r="EYS22" s="211">
        <f t="shared" si="1235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6"/>
        <v>7</v>
      </c>
      <c r="EZA22" s="211">
        <f t="shared" si="1237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8"/>
        <v>1368</v>
      </c>
      <c r="EZI22" s="211">
        <f t="shared" si="1239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40"/>
        <v>368</v>
      </c>
      <c r="EZQ22" s="873">
        <f t="shared" si="1241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2"/>
        <v>1503</v>
      </c>
      <c r="EZY22" s="873">
        <f t="shared" si="1243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4"/>
        <v>1196</v>
      </c>
      <c r="FAG22" s="873">
        <f t="shared" si="1245"/>
        <v>199.33333333333334</v>
      </c>
      <c r="FAH22" s="195">
        <v>98</v>
      </c>
      <c r="FAI22" s="49">
        <v>20</v>
      </c>
      <c r="FAJ22" s="49">
        <v>0</v>
      </c>
      <c r="FAK22" s="49">
        <v>0</v>
      </c>
      <c r="FAL22" s="49">
        <v>0</v>
      </c>
      <c r="FAM22" s="49">
        <v>466</v>
      </c>
      <c r="FAN22" s="872">
        <f t="shared" si="1246"/>
        <v>584</v>
      </c>
      <c r="FAO22" s="873">
        <f t="shared" si="1247"/>
        <v>97.333333333333329</v>
      </c>
      <c r="FAP22" s="195">
        <v>0</v>
      </c>
      <c r="FAQ22" s="49">
        <v>0</v>
      </c>
      <c r="FAR22" s="49"/>
      <c r="FAS22" s="49"/>
      <c r="FAT22" s="49"/>
      <c r="FAU22" s="49"/>
      <c r="FAV22" s="872">
        <f t="shared" si="1248"/>
        <v>0</v>
      </c>
      <c r="FAW22" s="873">
        <f t="shared" si="1249"/>
        <v>0</v>
      </c>
    </row>
    <row r="23" spans="1:4105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9008</v>
      </c>
      <c r="G23" s="24"/>
      <c r="H23" s="24"/>
      <c r="I23" s="24"/>
      <c r="J23" s="360">
        <f>SUMIF(SUMPK!$B:$B,$B:$B,SUMPK!$O:$O)</f>
        <v>138</v>
      </c>
      <c r="K23" s="24"/>
      <c r="L23" s="24">
        <f t="shared" si="569"/>
        <v>8870</v>
      </c>
      <c r="M23" s="24">
        <f t="shared" si="570"/>
        <v>8870</v>
      </c>
      <c r="N23" s="15">
        <v>209</v>
      </c>
      <c r="O23" s="276">
        <f t="shared" si="0"/>
        <v>42.440191387559807</v>
      </c>
      <c r="P23" s="15">
        <v>843</v>
      </c>
      <c r="Q23" s="276">
        <f t="shared" si="1263"/>
        <v>63.131672597864764</v>
      </c>
      <c r="R23" s="277">
        <f t="shared" si="572"/>
        <v>500</v>
      </c>
      <c r="S23" s="222">
        <v>13000</v>
      </c>
      <c r="T23" s="276">
        <f t="shared" si="573"/>
        <v>17.739999999999998</v>
      </c>
      <c r="U23" s="278"/>
      <c r="V23" s="277">
        <f t="shared" si="1"/>
        <v>17.739999999999998</v>
      </c>
      <c r="W23" s="279">
        <f t="shared" si="1252"/>
        <v>1</v>
      </c>
      <c r="X23" s="299"/>
      <c r="Y23" s="280" t="e">
        <f>#REF!+#REF!</f>
        <v>#REF!</v>
      </c>
      <c r="Z23" s="280" t="e">
        <f t="shared" si="1257"/>
        <v>#REF!</v>
      </c>
      <c r="AA23" s="280" t="e">
        <f t="shared" si="1261"/>
        <v>#REF!</v>
      </c>
      <c r="AB23" s="280" t="e">
        <f t="shared" si="1262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4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5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6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4"/>
        <v>12942</v>
      </c>
      <c r="BAV23" s="53">
        <f t="shared" si="575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6"/>
        <v>4303</v>
      </c>
      <c r="BBD23" s="53">
        <f t="shared" si="577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8"/>
        <v>3623</v>
      </c>
      <c r="BBL23" s="53">
        <f t="shared" si="579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80"/>
        <v>5006</v>
      </c>
      <c r="BBT23" s="53">
        <f t="shared" si="581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2"/>
        <v>943</v>
      </c>
      <c r="BCB23" s="53">
        <f t="shared" si="583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4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5"/>
        <v>6388</v>
      </c>
      <c r="BCR23" s="53">
        <f t="shared" si="586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7"/>
        <v>3437</v>
      </c>
      <c r="BCZ23" s="53">
        <f t="shared" si="588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9"/>
        <v>2809</v>
      </c>
      <c r="BDH23" s="53">
        <f t="shared" si="590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1"/>
        <v>3290</v>
      </c>
      <c r="BDP23" s="53">
        <f t="shared" si="592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3"/>
        <v>3670</v>
      </c>
      <c r="BDX23" s="53">
        <f t="shared" si="594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5"/>
        <v>5432</v>
      </c>
      <c r="BEF23" s="53">
        <f t="shared" si="596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7"/>
        <v>7122</v>
      </c>
      <c r="BEN23" s="53">
        <f t="shared" si="598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9"/>
        <v>753</v>
      </c>
      <c r="BEV23" s="53">
        <f t="shared" si="600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1"/>
        <v>2162</v>
      </c>
      <c r="BFD23" s="53">
        <f t="shared" si="602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3"/>
        <v>7790</v>
      </c>
      <c r="BFL23" s="70">
        <f t="shared" si="604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5"/>
        <v>4666</v>
      </c>
      <c r="BFT23" s="70">
        <f t="shared" si="606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7"/>
        <v>6468</v>
      </c>
      <c r="BGB23" s="70">
        <f t="shared" si="608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9"/>
        <v>4739</v>
      </c>
      <c r="BGJ23" s="70">
        <f t="shared" si="610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1"/>
        <v>4388</v>
      </c>
      <c r="BGR23" s="70">
        <f t="shared" si="612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3"/>
        <v>1784</v>
      </c>
      <c r="BGZ23" s="70">
        <f t="shared" si="614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5"/>
        <v>1157</v>
      </c>
      <c r="BHH23" s="70">
        <f t="shared" si="616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7"/>
        <v>6711</v>
      </c>
      <c r="BHP23" s="210">
        <f t="shared" si="618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20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1"/>
        <v>4031</v>
      </c>
      <c r="BIF23" s="199">
        <f t="shared" si="622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3"/>
        <v>3684</v>
      </c>
      <c r="BIN23" s="199">
        <f t="shared" si="624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5"/>
        <v>5354</v>
      </c>
      <c r="BIV23" s="212">
        <f t="shared" si="626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7"/>
        <v>3795</v>
      </c>
      <c r="BJD23" s="212">
        <f t="shared" si="628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9"/>
        <v>1697</v>
      </c>
      <c r="BJL23" s="212">
        <f t="shared" si="630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1"/>
        <v>3949</v>
      </c>
      <c r="BJT23" s="199">
        <f t="shared" si="632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3"/>
        <v>5890</v>
      </c>
      <c r="BKB23" s="199">
        <f t="shared" si="634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5"/>
        <v>9121</v>
      </c>
      <c r="BKJ23" s="199">
        <f t="shared" si="636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7"/>
        <v>1542</v>
      </c>
      <c r="BKR23" s="184">
        <f t="shared" si="638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9"/>
        <v>3256</v>
      </c>
      <c r="BKZ23" s="212">
        <f t="shared" si="640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7">SUM(BLA23:BLE23)</f>
        <v>8813</v>
      </c>
      <c r="BLH23" s="211">
        <f t="shared" si="642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3"/>
        <v>1962</v>
      </c>
      <c r="BLP23" s="199">
        <f t="shared" si="644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5"/>
        <v>226</v>
      </c>
      <c r="BLX23" s="184">
        <f t="shared" si="646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7"/>
        <v>2381</v>
      </c>
      <c r="BMF23" s="70">
        <f t="shared" si="648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9"/>
        <v>4448</v>
      </c>
      <c r="BMN23" s="70">
        <f t="shared" si="650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1"/>
        <v>5965</v>
      </c>
      <c r="BMV23" s="70">
        <f t="shared" si="652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3"/>
        <v>5975</v>
      </c>
      <c r="BND23" s="70">
        <f t="shared" si="654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5"/>
        <v>3322</v>
      </c>
      <c r="BNL23" s="70">
        <f t="shared" si="656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7"/>
        <v>1380</v>
      </c>
      <c r="BNT23" s="70">
        <f t="shared" si="658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9"/>
        <v>7533</v>
      </c>
      <c r="BOB23" s="210">
        <f t="shared" si="660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8">SUM(BOC23:BOG23)</f>
        <v>6687</v>
      </c>
      <c r="BOJ23" s="199">
        <f t="shared" si="662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3"/>
        <v>930</v>
      </c>
      <c r="BOR23" s="70">
        <f t="shared" si="664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5"/>
        <v>4354</v>
      </c>
      <c r="BOZ23" s="70">
        <f t="shared" si="666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7"/>
        <v>4321</v>
      </c>
      <c r="BPH23" s="70">
        <f t="shared" si="668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9"/>
        <v>2460</v>
      </c>
      <c r="BPP23" s="68">
        <f t="shared" si="670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1"/>
        <v>3346</v>
      </c>
      <c r="BPX23" s="70">
        <f t="shared" si="672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3"/>
        <v>1891</v>
      </c>
      <c r="BQF23" s="70">
        <f t="shared" si="674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5"/>
        <v>3006</v>
      </c>
      <c r="BQN23" s="70">
        <f t="shared" si="676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7"/>
        <v>1162</v>
      </c>
      <c r="BQV23" s="70">
        <f t="shared" si="678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9"/>
        <v>2526</v>
      </c>
      <c r="BRD23" s="70">
        <f t="shared" si="680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1"/>
        <v>3555</v>
      </c>
      <c r="BRL23" s="70">
        <f t="shared" si="682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3"/>
        <v>5791</v>
      </c>
      <c r="BRT23" s="68">
        <f t="shared" si="684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5"/>
        <v>7795</v>
      </c>
      <c r="BSB23" s="70">
        <f t="shared" si="686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7"/>
        <v>10927</v>
      </c>
      <c r="BSJ23" s="68">
        <f t="shared" si="688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9"/>
        <v>957</v>
      </c>
      <c r="BSR23" s="70">
        <f t="shared" si="690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1"/>
        <v>7607</v>
      </c>
      <c r="BSZ23" s="70">
        <f t="shared" si="692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3"/>
        <v>2467</v>
      </c>
      <c r="BTH23" s="70">
        <f t="shared" si="694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5"/>
        <v>2426</v>
      </c>
      <c r="BTP23" s="68">
        <f t="shared" si="696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7"/>
        <v>1146</v>
      </c>
      <c r="BTX23" s="210">
        <f t="shared" si="698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9"/>
        <v>3916</v>
      </c>
      <c r="BUF23" s="184">
        <f t="shared" si="700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1"/>
        <v>3161</v>
      </c>
      <c r="BUN23" s="212">
        <f t="shared" si="702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3"/>
        <v>4600</v>
      </c>
      <c r="BUV23" s="211">
        <f t="shared" si="704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5"/>
        <v>4072</v>
      </c>
      <c r="BVD23" s="212">
        <f t="shared" si="706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7"/>
        <v>4181</v>
      </c>
      <c r="BVL23" s="199">
        <f t="shared" si="708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9"/>
        <v>3781</v>
      </c>
      <c r="BVT23" s="212">
        <f t="shared" si="710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1"/>
        <v>5707</v>
      </c>
      <c r="BWB23" s="184">
        <f t="shared" si="712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3"/>
        <v>4548</v>
      </c>
      <c r="BWJ23" s="199">
        <f t="shared" si="714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5"/>
        <v>1435</v>
      </c>
      <c r="BWR23" s="212">
        <f t="shared" si="716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7"/>
        <v>4047</v>
      </c>
      <c r="BWZ23" s="212">
        <f t="shared" si="718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9"/>
        <v>899</v>
      </c>
      <c r="BXH23" s="212">
        <f t="shared" si="720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1"/>
        <v>3329</v>
      </c>
      <c r="BXP23" s="199">
        <f t="shared" si="722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3"/>
        <v>4341</v>
      </c>
      <c r="BXX23" s="199">
        <f t="shared" si="724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5"/>
        <v>3478</v>
      </c>
      <c r="BYF23" s="212">
        <f t="shared" si="726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7"/>
        <v>6166</v>
      </c>
      <c r="BYN23" s="199">
        <f t="shared" si="728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9"/>
        <v>5551</v>
      </c>
      <c r="BYV23" s="212">
        <f t="shared" si="730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1"/>
        <v>3444</v>
      </c>
      <c r="BZD23" s="199">
        <f t="shared" si="732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3"/>
        <v>3446</v>
      </c>
      <c r="BZL23" s="199">
        <f t="shared" si="734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5"/>
        <v>3202</v>
      </c>
      <c r="BZT23" s="70">
        <f t="shared" si="736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7"/>
        <v>3120</v>
      </c>
      <c r="CAB23" s="70">
        <f t="shared" si="738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9"/>
        <v>225</v>
      </c>
      <c r="CAJ23" s="70">
        <f t="shared" si="740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1"/>
        <v>4830</v>
      </c>
      <c r="CAR23" s="210">
        <f t="shared" si="742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3"/>
        <v>5888</v>
      </c>
      <c r="CAZ23" s="212">
        <f t="shared" si="744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5"/>
        <v>4850</v>
      </c>
      <c r="CBH23" s="211">
        <f t="shared" si="746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7"/>
        <v>3237</v>
      </c>
      <c r="CBP23" s="199">
        <f t="shared" si="748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9"/>
        <v>3032</v>
      </c>
      <c r="CBX23" s="70">
        <f t="shared" si="750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1"/>
        <v>3900</v>
      </c>
      <c r="CCF23" s="70">
        <f t="shared" si="752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3"/>
        <v>3151</v>
      </c>
      <c r="CCN23" s="70">
        <f t="shared" si="754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5"/>
        <v>3922</v>
      </c>
      <c r="CCV23" s="70">
        <f t="shared" si="756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7"/>
        <v>4806</v>
      </c>
      <c r="CDD23" s="70">
        <f t="shared" si="758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9"/>
        <v>3637</v>
      </c>
      <c r="CDL23" s="68">
        <f t="shared" si="760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1"/>
        <v>4397</v>
      </c>
      <c r="CDT23" s="70">
        <f t="shared" si="762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3"/>
        <v>1446</v>
      </c>
      <c r="CEB23" s="70">
        <f t="shared" si="764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5"/>
        <v>8070</v>
      </c>
      <c r="CEJ23" s="68">
        <f t="shared" si="766"/>
        <v>1345</v>
      </c>
      <c r="CEK23" s="65"/>
      <c r="CEL23" s="66"/>
      <c r="CEM23" s="66"/>
      <c r="CEN23" s="66"/>
      <c r="CEO23" s="66"/>
      <c r="CEP23" s="66"/>
      <c r="CEQ23" s="69">
        <f t="shared" si="767"/>
        <v>0</v>
      </c>
      <c r="CER23" s="70">
        <f t="shared" si="768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9"/>
        <v>3642</v>
      </c>
      <c r="CEZ23" s="70">
        <f t="shared" si="770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1"/>
        <v>4337</v>
      </c>
      <c r="CFH23" s="70">
        <f t="shared" si="772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3"/>
        <v>3924</v>
      </c>
      <c r="CFP23" s="70">
        <f t="shared" si="774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5"/>
        <v>5550</v>
      </c>
      <c r="CFX23" s="68">
        <f t="shared" si="776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7"/>
        <v>2991</v>
      </c>
      <c r="CGF23" s="68">
        <f t="shared" si="778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9"/>
        <v>6805</v>
      </c>
      <c r="CGN23" s="70">
        <f t="shared" si="780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1"/>
        <v>3859</v>
      </c>
      <c r="CGV23" s="70">
        <f t="shared" si="782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3"/>
        <v>7341</v>
      </c>
      <c r="CHD23" s="70">
        <f t="shared" si="784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5"/>
        <v>3505</v>
      </c>
      <c r="CHL23" s="70">
        <f t="shared" si="786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7"/>
        <v>9224</v>
      </c>
      <c r="CHT23" s="70">
        <f t="shared" si="788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9"/>
        <v>6320</v>
      </c>
      <c r="CIB23" s="70">
        <f t="shared" si="790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1"/>
        <v>4135</v>
      </c>
      <c r="CIJ23" s="70">
        <f t="shared" si="792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3"/>
        <v>5404</v>
      </c>
      <c r="CIR23" s="70">
        <f t="shared" si="794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5"/>
        <v>7139</v>
      </c>
      <c r="CIZ23" s="70">
        <f t="shared" si="796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7"/>
        <v>3663</v>
      </c>
      <c r="CJH23" s="70">
        <f t="shared" si="798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9"/>
        <v>7845</v>
      </c>
      <c r="CJP23" s="70">
        <f t="shared" si="800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1"/>
        <v>2568</v>
      </c>
      <c r="CJX23" s="70">
        <f t="shared" si="802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3"/>
        <v>3551</v>
      </c>
      <c r="CKF23" s="70">
        <f t="shared" si="804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5"/>
        <v>4861</v>
      </c>
      <c r="CKN23" s="68">
        <f t="shared" si="806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7"/>
        <v>4244</v>
      </c>
      <c r="CKV23" s="70">
        <f t="shared" si="808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9"/>
        <v>4020</v>
      </c>
      <c r="CLD23" s="70">
        <f t="shared" si="810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1"/>
        <v>4722</v>
      </c>
      <c r="CLL23" s="70">
        <f t="shared" si="812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3"/>
        <v>4576</v>
      </c>
      <c r="CLT23" s="210">
        <f t="shared" si="814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5"/>
        <v>4404</v>
      </c>
      <c r="CMB23" s="70">
        <f t="shared" si="816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7"/>
        <v>6464</v>
      </c>
      <c r="CMJ23" s="70">
        <f t="shared" si="818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9"/>
        <v>2020</v>
      </c>
      <c r="CMR23" s="70">
        <f t="shared" si="820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1"/>
        <v>3972</v>
      </c>
      <c r="CMZ23" s="70">
        <f t="shared" si="822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3"/>
        <v>5686</v>
      </c>
      <c r="CNH23" s="70">
        <f t="shared" si="824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5"/>
        <v>4097</v>
      </c>
      <c r="CNP23" s="70">
        <f t="shared" si="826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7"/>
        <v>3902</v>
      </c>
      <c r="CNX23" s="70">
        <f t="shared" si="828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9"/>
        <v>3489</v>
      </c>
      <c r="COF23" s="70">
        <f t="shared" si="830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1"/>
        <v>4109</v>
      </c>
      <c r="CON23" s="70">
        <f t="shared" si="832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3"/>
        <v>3227</v>
      </c>
      <c r="COV23" s="70">
        <f t="shared" si="834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5"/>
        <v>4912</v>
      </c>
      <c r="CPD23" s="70">
        <f t="shared" si="836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7"/>
        <v>3723</v>
      </c>
      <c r="CPL23" s="70">
        <f t="shared" si="838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9"/>
        <v>1848</v>
      </c>
      <c r="CPT23" s="70">
        <f t="shared" si="840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1"/>
        <v>3765</v>
      </c>
      <c r="CQB23" s="70">
        <f t="shared" si="842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3"/>
        <v>6800</v>
      </c>
      <c r="CQJ23" s="70">
        <f t="shared" si="844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5"/>
        <v>1082</v>
      </c>
      <c r="CQR23" s="70">
        <f t="shared" si="846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138</v>
      </c>
      <c r="CQX23" s="51">
        <v>533</v>
      </c>
      <c r="CQY23" s="69">
        <f t="shared" si="847"/>
        <v>3200</v>
      </c>
      <c r="CQZ23" s="70">
        <f t="shared" si="848"/>
        <v>533.33333333333337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9"/>
        <v>4361</v>
      </c>
      <c r="CRH23" s="70">
        <f t="shared" si="850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1"/>
        <v>1997</v>
      </c>
      <c r="CRP23" s="70">
        <f t="shared" si="852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3"/>
        <v>3997</v>
      </c>
      <c r="CRX23" s="70">
        <f t="shared" si="854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50"/>
        <v>4910</v>
      </c>
      <c r="CSF23" s="70">
        <f t="shared" si="1251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7"/>
        <v>4593</v>
      </c>
      <c r="CSN23" s="70">
        <f t="shared" si="858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9"/>
        <v>4336</v>
      </c>
      <c r="CSV23" s="70">
        <f t="shared" si="860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1"/>
        <v>817</v>
      </c>
      <c r="CTD23" s="70">
        <f t="shared" si="862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3"/>
        <v>3749</v>
      </c>
      <c r="CTL23" s="70">
        <f t="shared" si="864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5"/>
        <v>7713</v>
      </c>
      <c r="CTT23" s="70">
        <f t="shared" si="866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7"/>
        <v>3020</v>
      </c>
      <c r="CUB23" s="70">
        <f t="shared" si="868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9"/>
        <v>5371</v>
      </c>
      <c r="CUJ23" s="70">
        <f t="shared" si="870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1"/>
        <v>1066</v>
      </c>
      <c r="CUR23" s="70">
        <f t="shared" si="872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3"/>
        <v>6431</v>
      </c>
      <c r="CUZ23" s="70">
        <f t="shared" si="874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5"/>
        <v>1647</v>
      </c>
      <c r="CVH23" s="70">
        <f t="shared" si="876"/>
        <v>274.5</v>
      </c>
      <c r="CVI23" s="50">
        <v>1451</v>
      </c>
      <c r="CVJ23" s="51">
        <f>SUMIF(SUMPK!$B:$B,$B:$B,SUMPK!$O:$O)</f>
        <v>138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7"/>
        <v>3241</v>
      </c>
      <c r="CVP23" s="70">
        <f t="shared" si="878"/>
        <v>540.16666666666663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9"/>
        <v>4730</v>
      </c>
      <c r="CVX23" s="70">
        <f t="shared" si="880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1"/>
        <v>4478</v>
      </c>
      <c r="CWF23" s="70">
        <f t="shared" si="882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3"/>
        <v>6022</v>
      </c>
      <c r="CWN23" s="70">
        <f t="shared" si="884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5"/>
        <v>3016</v>
      </c>
      <c r="CWV23" s="53">
        <f t="shared" si="886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7"/>
        <v>4057</v>
      </c>
      <c r="CXD23" s="53">
        <f t="shared" si="888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9"/>
        <v>5356</v>
      </c>
      <c r="CXL23" s="43">
        <f t="shared" si="890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1"/>
        <v>4646</v>
      </c>
      <c r="CXT23" s="53">
        <f t="shared" si="892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3"/>
        <v>6375</v>
      </c>
      <c r="CYB23" s="53">
        <f t="shared" si="894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5"/>
        <v>4168</v>
      </c>
      <c r="CYJ23" s="43">
        <f t="shared" si="896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7"/>
        <v>7005</v>
      </c>
      <c r="CYR23" s="53">
        <f t="shared" si="898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9"/>
        <v>9155</v>
      </c>
      <c r="CYZ23" s="43">
        <f t="shared" si="900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1"/>
        <v>3634</v>
      </c>
      <c r="CZH23" s="53">
        <f t="shared" si="902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3"/>
        <v>4335</v>
      </c>
      <c r="CZP23" s="53">
        <f t="shared" si="904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5"/>
        <v>3453</v>
      </c>
      <c r="CZX23" s="53">
        <f t="shared" si="906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7"/>
        <v>4966</v>
      </c>
      <c r="DAF23" s="53">
        <f t="shared" si="908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9"/>
        <v>2467</v>
      </c>
      <c r="DAN23" s="53">
        <f t="shared" si="910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1"/>
        <v>1649</v>
      </c>
      <c r="DAV23" s="70">
        <f t="shared" si="912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3"/>
        <v>3204</v>
      </c>
      <c r="DBD23" s="70">
        <f t="shared" si="914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5"/>
        <v>4486</v>
      </c>
      <c r="DBL23" s="70">
        <f t="shared" si="916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7"/>
        <v>3614</v>
      </c>
      <c r="DBT23" s="70">
        <f t="shared" si="918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9"/>
        <v>4025</v>
      </c>
      <c r="DCB23" s="210">
        <f t="shared" si="920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1"/>
        <v>5317</v>
      </c>
      <c r="DCJ23" s="212">
        <f t="shared" si="922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3"/>
        <v>4562</v>
      </c>
      <c r="DCR23" s="212">
        <f t="shared" si="924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5"/>
        <v>2867</v>
      </c>
      <c r="DCZ23" s="184">
        <f t="shared" si="926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7"/>
        <v>4853</v>
      </c>
      <c r="DDH23" s="212">
        <f t="shared" si="928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9"/>
        <v>4513</v>
      </c>
      <c r="DDP23" s="199">
        <f t="shared" si="930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1"/>
        <v>3673</v>
      </c>
      <c r="DDX23" s="212">
        <f t="shared" si="932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3"/>
        <v>2671</v>
      </c>
      <c r="DEF23" s="214">
        <f t="shared" si="934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5"/>
        <v>4771</v>
      </c>
      <c r="DEN23" s="101">
        <f t="shared" si="936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7"/>
        <v>1814</v>
      </c>
      <c r="DEV23" s="220">
        <f t="shared" si="938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9"/>
        <v>4318</v>
      </c>
      <c r="DFD23" s="53">
        <f t="shared" si="940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1"/>
        <v>3564</v>
      </c>
      <c r="DFL23" s="53">
        <f t="shared" si="942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3"/>
        <v>2365</v>
      </c>
      <c r="DFT23" s="53">
        <f t="shared" si="944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5"/>
        <v>4433</v>
      </c>
      <c r="DGB23" s="53">
        <f t="shared" si="946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7"/>
        <v>5240</v>
      </c>
      <c r="DGJ23" s="70">
        <f t="shared" si="948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9"/>
        <v>2529</v>
      </c>
      <c r="DGR23" s="70">
        <f t="shared" si="950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1"/>
        <v>4802</v>
      </c>
      <c r="DGZ23" s="70">
        <f t="shared" si="952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3"/>
        <v>2033</v>
      </c>
      <c r="DHH23" s="70">
        <f t="shared" si="954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5"/>
        <v>5402</v>
      </c>
      <c r="DHP23" s="70">
        <f t="shared" si="956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7"/>
        <v>4551</v>
      </c>
      <c r="DHX23" s="70">
        <f t="shared" si="958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9"/>
        <v>2414</v>
      </c>
      <c r="DIF23" s="70">
        <f t="shared" si="960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1"/>
        <v>4849</v>
      </c>
      <c r="DIN23" s="70">
        <f t="shared" si="962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3"/>
        <v>4339</v>
      </c>
      <c r="DIV23" s="70">
        <f t="shared" si="964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5"/>
        <v>589</v>
      </c>
      <c r="DJD23" s="70">
        <f t="shared" si="966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7"/>
        <v>4202</v>
      </c>
      <c r="DJL23" s="70">
        <f t="shared" si="968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9"/>
        <v>6135</v>
      </c>
      <c r="DJT23" s="70">
        <f t="shared" si="970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1"/>
        <v>2316</v>
      </c>
      <c r="DKB23" s="70">
        <f t="shared" si="972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3"/>
        <v>6519</v>
      </c>
      <c r="DKJ23" s="68">
        <f t="shared" si="974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5"/>
        <v>8194</v>
      </c>
      <c r="DKR23" s="68">
        <f t="shared" si="976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7"/>
        <v>2018</v>
      </c>
      <c r="DKZ23" s="70">
        <f t="shared" si="978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9"/>
        <v>7933</v>
      </c>
      <c r="DLH23" s="70">
        <f t="shared" si="980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1"/>
        <v>4060</v>
      </c>
      <c r="DLP23" s="70">
        <f t="shared" si="982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3"/>
        <v>3110</v>
      </c>
      <c r="DLX23" s="70">
        <f t="shared" si="984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5"/>
        <v>4727</v>
      </c>
      <c r="DMF23" s="70">
        <f t="shared" si="986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7"/>
        <v>5564</v>
      </c>
      <c r="DMN23" s="70">
        <f t="shared" si="988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9"/>
        <v>2810</v>
      </c>
      <c r="DMV23" s="70">
        <f t="shared" si="990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1"/>
        <v>4666</v>
      </c>
      <c r="DND23" s="70">
        <f t="shared" si="992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3"/>
        <v>3018</v>
      </c>
      <c r="DNL23" s="70">
        <f t="shared" si="994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5"/>
        <v>3390</v>
      </c>
      <c r="DNT23" s="70">
        <f t="shared" si="996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7"/>
        <v>4514</v>
      </c>
      <c r="DOB23" s="70">
        <f t="shared" si="998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9"/>
        <v>2708</v>
      </c>
      <c r="DOJ23" s="70">
        <f t="shared" si="1000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1"/>
        <v>4598</v>
      </c>
      <c r="DOR23" s="70">
        <f t="shared" si="1002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3"/>
        <v>3746</v>
      </c>
      <c r="DOZ23" s="70">
        <f t="shared" si="1004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5"/>
        <v>5843</v>
      </c>
      <c r="DPH23" s="70">
        <f t="shared" si="1006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7"/>
        <v>5401</v>
      </c>
      <c r="DPP23" s="70">
        <f t="shared" si="1008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9"/>
        <v>2134</v>
      </c>
      <c r="DPX23" s="68">
        <f t="shared" si="1010"/>
        <v>355.66666666666669</v>
      </c>
      <c r="DPY23" s="65">
        <v>279</v>
      </c>
      <c r="DPZ23" s="66">
        <v>0</v>
      </c>
      <c r="DQA23" s="66">
        <f>SUMIF(SUMPK!$B:$B,$B:$B,SUMPK!$O:$O)</f>
        <v>138</v>
      </c>
      <c r="DQB23" s="66">
        <v>2614</v>
      </c>
      <c r="DQC23" s="66">
        <v>0</v>
      </c>
      <c r="DQD23" s="66">
        <v>1432</v>
      </c>
      <c r="DQE23" s="66">
        <f t="shared" si="1011"/>
        <v>4463</v>
      </c>
      <c r="DQF23" s="70">
        <f t="shared" si="1012"/>
        <v>743.83333333333337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3"/>
        <v>6006</v>
      </c>
      <c r="DQN23" s="68">
        <f t="shared" si="1014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5"/>
        <v>6537</v>
      </c>
      <c r="DQV23" s="70">
        <f t="shared" si="1016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7"/>
        <v>7170</v>
      </c>
      <c r="DRD23" s="70">
        <f t="shared" si="1018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9"/>
        <v>2157</v>
      </c>
      <c r="DRL23" s="70">
        <f t="shared" si="1020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1"/>
        <v>3568</v>
      </c>
      <c r="DRT23" s="70">
        <f t="shared" si="1022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3"/>
        <v>2053</v>
      </c>
      <c r="DSB23" s="70">
        <f t="shared" si="1024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5"/>
        <v>3305</v>
      </c>
      <c r="DSJ23" s="70">
        <f t="shared" si="1026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7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8"/>
        <v>4923</v>
      </c>
      <c r="DSZ23" s="70">
        <f t="shared" si="1029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30"/>
        <v>5242</v>
      </c>
      <c r="DTH23" s="70">
        <f t="shared" si="1031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2"/>
        <v>4590</v>
      </c>
      <c r="DTP23" s="70">
        <f t="shared" si="1033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4"/>
        <v>3050</v>
      </c>
      <c r="DTX23" s="70">
        <f t="shared" si="1035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6"/>
        <v>3150</v>
      </c>
      <c r="DUF23" s="70">
        <f t="shared" si="1037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8"/>
        <v>5193</v>
      </c>
      <c r="DUN23" s="70">
        <f t="shared" si="1039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40"/>
        <v>4002</v>
      </c>
      <c r="DUV23" s="70">
        <f t="shared" si="1041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2"/>
        <v>3998</v>
      </c>
      <c r="DVD23" s="70">
        <f t="shared" si="1043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4"/>
        <v>4607</v>
      </c>
      <c r="DVL23" s="70">
        <f t="shared" si="1045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6"/>
        <v>4909</v>
      </c>
      <c r="DVT23" s="70">
        <f t="shared" si="1047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8"/>
        <v>2081</v>
      </c>
      <c r="DWB23" s="70">
        <f t="shared" si="1049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50"/>
        <v>5275</v>
      </c>
      <c r="DWJ23" s="70">
        <f t="shared" si="1051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2"/>
        <v>3131</v>
      </c>
      <c r="DWR23" s="70">
        <f t="shared" si="1053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4"/>
        <v>1087</v>
      </c>
      <c r="DWZ23" s="70">
        <f t="shared" si="1055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6"/>
        <v>4352</v>
      </c>
      <c r="DXH23" s="70">
        <f t="shared" si="1057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8"/>
        <v>4915</v>
      </c>
      <c r="DXP23" s="70">
        <f t="shared" si="1059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60"/>
        <v>3700</v>
      </c>
      <c r="DXX23" s="70">
        <f t="shared" si="1061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2"/>
        <v>4727</v>
      </c>
      <c r="DYF23" s="70">
        <f t="shared" si="1063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4"/>
        <v>3250</v>
      </c>
      <c r="DYN23" s="70">
        <f t="shared" si="1065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6"/>
        <v>2783</v>
      </c>
      <c r="DYV23" s="70">
        <f t="shared" si="1067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8"/>
        <v>3245</v>
      </c>
      <c r="DZD23" s="68">
        <f t="shared" si="1069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70"/>
        <v>1401</v>
      </c>
      <c r="DZL23" s="70">
        <f t="shared" si="1071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2"/>
        <v>2440</v>
      </c>
      <c r="DZT23" s="68">
        <f t="shared" si="1073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4"/>
        <v>5086</v>
      </c>
      <c r="EAB23" s="70">
        <f t="shared" si="1075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6"/>
        <v>1277</v>
      </c>
      <c r="EAJ23" s="70">
        <f t="shared" si="1077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8"/>
        <v>3936</v>
      </c>
      <c r="EAR23" s="70">
        <f t="shared" si="1079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80"/>
        <v>2940</v>
      </c>
      <c r="EAZ23" s="70">
        <f t="shared" si="1081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2"/>
        <v>4686</v>
      </c>
      <c r="EBH23" s="70">
        <f t="shared" si="1083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4"/>
        <v>2931</v>
      </c>
      <c r="EBP23" s="70">
        <f t="shared" si="1085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6"/>
        <v>3829</v>
      </c>
      <c r="EBX23" s="70">
        <f t="shared" si="1087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8"/>
        <v>2216</v>
      </c>
      <c r="ECF23" s="70">
        <f t="shared" si="1089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90"/>
        <v>4661</v>
      </c>
      <c r="ECN23" s="70">
        <f t="shared" si="1091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2"/>
        <v>1494</v>
      </c>
      <c r="ECV23" s="70">
        <f t="shared" si="1093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4"/>
        <v>4707</v>
      </c>
      <c r="EDD23" s="70">
        <f t="shared" si="1095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6"/>
        <v>4921</v>
      </c>
      <c r="EDL23" s="70">
        <f t="shared" si="1097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8"/>
        <v>3214</v>
      </c>
      <c r="EDT23" s="70">
        <f t="shared" si="1099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100"/>
        <v>4802</v>
      </c>
      <c r="EEB23" s="70">
        <f t="shared" si="1101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2"/>
        <v>809</v>
      </c>
      <c r="EEJ23" s="70">
        <f t="shared" si="1103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4"/>
        <v>4743</v>
      </c>
      <c r="EER23" s="70">
        <f t="shared" si="1105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6"/>
        <v>2140</v>
      </c>
      <c r="EEZ23" s="70">
        <f t="shared" si="1107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8"/>
        <v>3897</v>
      </c>
      <c r="EFH23" s="70">
        <f t="shared" si="1109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10"/>
        <v>4747</v>
      </c>
      <c r="EFP23" s="70">
        <f t="shared" si="1111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2"/>
        <v>8525</v>
      </c>
      <c r="EFX23" s="70">
        <f t="shared" si="1113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4"/>
        <v>5570</v>
      </c>
      <c r="EGF23" s="70">
        <f t="shared" si="1115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6"/>
        <v>3506</v>
      </c>
      <c r="EGN23" s="70">
        <f t="shared" si="1117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8"/>
        <v>1489</v>
      </c>
      <c r="EGV23" s="70">
        <f t="shared" si="1119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20"/>
        <v>3322</v>
      </c>
      <c r="EHD23" s="70">
        <f t="shared" si="1121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2"/>
        <v>2067</v>
      </c>
      <c r="EHL23" s="68">
        <f t="shared" si="1123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4"/>
        <v>2012</v>
      </c>
      <c r="EHT23" s="70">
        <f t="shared" si="1125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6"/>
        <v>1544</v>
      </c>
      <c r="EIB23" s="70">
        <f t="shared" si="1127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8"/>
        <v>2353</v>
      </c>
      <c r="EIJ23" s="70">
        <f t="shared" si="1129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30"/>
        <v>2179</v>
      </c>
      <c r="EIR23" s="70">
        <f t="shared" si="1131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2"/>
        <v>2393</v>
      </c>
      <c r="EIZ23" s="70">
        <f t="shared" si="1133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4"/>
        <v>4019</v>
      </c>
      <c r="EJH23" s="70">
        <f t="shared" si="1135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6"/>
        <v>2914</v>
      </c>
      <c r="EJP23" s="70">
        <f t="shared" si="1137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8"/>
        <v>3450</v>
      </c>
      <c r="EJX23" s="70">
        <f t="shared" si="1139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40"/>
        <v>2546</v>
      </c>
      <c r="EKF23" s="70">
        <f t="shared" si="1141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2"/>
        <v>1741</v>
      </c>
      <c r="EKN23" s="70">
        <f t="shared" si="1143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4"/>
        <v>4245</v>
      </c>
      <c r="EKV23" s="70">
        <f t="shared" si="1145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6"/>
        <v>1450</v>
      </c>
      <c r="ELD23" s="70">
        <f t="shared" si="1147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8"/>
        <v>1631</v>
      </c>
      <c r="ELL23" s="210">
        <f t="shared" si="1149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50"/>
        <v>4621</v>
      </c>
      <c r="ELU23" s="212">
        <f t="shared" si="1151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2"/>
        <v>2123</v>
      </c>
      <c r="EMC23" s="212">
        <f t="shared" si="1153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4"/>
        <v>3469</v>
      </c>
      <c r="EMK23" s="212">
        <f t="shared" si="1155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6"/>
        <v>1136</v>
      </c>
      <c r="EMS23" s="212">
        <f t="shared" si="1157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8"/>
        <v>3419</v>
      </c>
      <c r="ENA23" s="212">
        <f t="shared" si="1159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60"/>
        <v>2014</v>
      </c>
      <c r="ENI23" s="212">
        <f t="shared" si="1161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2"/>
        <v>3414</v>
      </c>
      <c r="ENQ23" s="212">
        <f t="shared" si="1163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4"/>
        <v>3231</v>
      </c>
      <c r="ENY23" s="211">
        <f t="shared" si="1165"/>
        <v>538.5</v>
      </c>
      <c r="ENZ23" s="245">
        <f>SUMIF(SUMPK!$B:$B,$B:$B,SUMPK!$O:$O)</f>
        <v>138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6"/>
        <v>2476</v>
      </c>
      <c r="EOG23" s="212">
        <f t="shared" si="1167"/>
        <v>412.66666666666669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8"/>
        <v>1687</v>
      </c>
      <c r="EOO23" s="212">
        <f t="shared" si="1169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70"/>
        <v>1933</v>
      </c>
      <c r="EOW23" s="212">
        <f t="shared" si="1171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2"/>
        <v>3677</v>
      </c>
      <c r="EPE23" s="212">
        <f t="shared" si="1173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4"/>
        <v>1959</v>
      </c>
      <c r="EPM23" s="212">
        <f t="shared" si="1175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6"/>
        <v>2911</v>
      </c>
      <c r="EPU23" s="212">
        <f t="shared" si="1177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8"/>
        <v>4276</v>
      </c>
      <c r="EQC23" s="212">
        <f t="shared" si="1179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80"/>
        <v>3502</v>
      </c>
      <c r="EQK23" s="212">
        <f t="shared" si="1181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2"/>
        <v>2768</v>
      </c>
      <c r="EQS23" s="212">
        <f t="shared" si="1183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4"/>
        <v>1233</v>
      </c>
      <c r="ERA23" s="211">
        <f t="shared" si="1185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6"/>
        <v>3805</v>
      </c>
      <c r="ERI23" s="212">
        <f t="shared" si="1187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8"/>
        <v>2428</v>
      </c>
      <c r="ERQ23" s="212">
        <f t="shared" si="1189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90"/>
        <v>1431</v>
      </c>
      <c r="ERY23" s="212">
        <f t="shared" si="1191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2"/>
        <v>2943</v>
      </c>
      <c r="ESG23" s="212">
        <f t="shared" si="1193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4"/>
        <v>3632</v>
      </c>
      <c r="ESO23" s="212">
        <f t="shared" si="1195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6"/>
        <v>3325</v>
      </c>
      <c r="ESW23" s="212">
        <f t="shared" si="1197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8"/>
        <v>2694</v>
      </c>
      <c r="ETE23" s="738">
        <f t="shared" si="1199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200"/>
        <v>2372</v>
      </c>
      <c r="ETM23" s="212">
        <f t="shared" si="1201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2"/>
        <v>2736</v>
      </c>
      <c r="ETU23" s="212">
        <f t="shared" si="1203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4"/>
        <v>3156</v>
      </c>
      <c r="EUC23" s="212">
        <f t="shared" si="1205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6"/>
        <v>3660</v>
      </c>
      <c r="EUK23" s="212">
        <f t="shared" si="1207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8"/>
        <v>2176</v>
      </c>
      <c r="EUS23" s="212">
        <f t="shared" si="1209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10"/>
        <v>3375</v>
      </c>
      <c r="EVA23" s="212">
        <f t="shared" si="1211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2"/>
        <v>2838</v>
      </c>
      <c r="EVI23" s="212">
        <f t="shared" si="1213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4"/>
        <v>2900</v>
      </c>
      <c r="EVQ23" s="212">
        <f t="shared" si="1215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6"/>
        <v>4091</v>
      </c>
      <c r="EVY23" s="212">
        <f t="shared" si="1217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8"/>
        <v>4777</v>
      </c>
      <c r="EWG23" s="212">
        <f t="shared" si="1219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20"/>
        <v>6646</v>
      </c>
      <c r="EWO23" s="212">
        <f t="shared" si="1221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2"/>
        <v>1822</v>
      </c>
      <c r="EWW23" s="212">
        <f t="shared" si="1223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4"/>
        <v>3822</v>
      </c>
      <c r="EXE23" s="212">
        <f t="shared" si="1225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6"/>
        <v>3010</v>
      </c>
      <c r="EXM23" s="212">
        <f t="shared" si="1227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8"/>
        <v>2758</v>
      </c>
      <c r="EXU23" s="212">
        <f t="shared" si="1229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30"/>
        <v>5041</v>
      </c>
      <c r="EYC23" s="212">
        <f t="shared" si="1231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2"/>
        <v>5536</v>
      </c>
      <c r="EYK23" s="211">
        <f t="shared" si="1233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4"/>
        <v>4616</v>
      </c>
      <c r="EYS23" s="212">
        <f t="shared" si="1235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6"/>
        <v>1590</v>
      </c>
      <c r="EZA23" s="212">
        <f t="shared" si="1237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8"/>
        <v>3175</v>
      </c>
      <c r="EZI23" s="212">
        <f t="shared" si="1239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40"/>
        <v>4055</v>
      </c>
      <c r="EZQ23" s="879">
        <f t="shared" si="1241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2"/>
        <v>2671</v>
      </c>
      <c r="EZY23" s="879">
        <f t="shared" si="1243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4"/>
        <v>5058</v>
      </c>
      <c r="FAG23" s="879">
        <f t="shared" si="1245"/>
        <v>843</v>
      </c>
      <c r="FAH23" s="196">
        <v>409</v>
      </c>
      <c r="FAI23" s="197">
        <v>0</v>
      </c>
      <c r="FAJ23" s="197">
        <v>0</v>
      </c>
      <c r="FAK23" s="197">
        <v>446</v>
      </c>
      <c r="FAL23" s="197"/>
      <c r="FAM23" s="197">
        <v>399</v>
      </c>
      <c r="FAN23" s="878">
        <f t="shared" si="1246"/>
        <v>1254</v>
      </c>
      <c r="FAO23" s="879">
        <f t="shared" si="1247"/>
        <v>209</v>
      </c>
      <c r="FAP23" s="196">
        <v>307</v>
      </c>
      <c r="FAQ23" s="197">
        <v>423</v>
      </c>
      <c r="FAR23" s="197"/>
      <c r="FAS23" s="197"/>
      <c r="FAT23" s="197"/>
      <c r="FAU23" s="197"/>
      <c r="FAV23" s="878">
        <f t="shared" si="1248"/>
        <v>730</v>
      </c>
      <c r="FAW23" s="879">
        <f t="shared" si="1249"/>
        <v>121.66666666666667</v>
      </c>
    </row>
    <row r="24" spans="1:4105" s="8" customFormat="1" ht="30" customHeight="1" x14ac:dyDescent="0.2">
      <c r="A24" s="1017" t="s">
        <v>14</v>
      </c>
      <c r="B24" s="1018"/>
      <c r="C24" s="1018"/>
      <c r="D24" s="319">
        <v>50</v>
      </c>
      <c r="E24" s="622">
        <f>SUM(E7:E23)</f>
        <v>0</v>
      </c>
      <c r="F24" s="622">
        <f>SUM(F7:F23)</f>
        <v>186969</v>
      </c>
      <c r="G24" s="622">
        <f t="shared" ref="G24:U24" si="1269">SUM(G7:G23)</f>
        <v>0</v>
      </c>
      <c r="H24" s="622">
        <f t="shared" si="1269"/>
        <v>31839</v>
      </c>
      <c r="I24" s="622">
        <f t="shared" si="1269"/>
        <v>0</v>
      </c>
      <c r="J24" s="622">
        <f t="shared" si="1269"/>
        <v>25687</v>
      </c>
      <c r="K24" s="622">
        <f t="shared" si="1269"/>
        <v>0</v>
      </c>
      <c r="L24" s="622">
        <f t="shared" si="1269"/>
        <v>193121</v>
      </c>
      <c r="M24" s="622">
        <f t="shared" si="1269"/>
        <v>193121</v>
      </c>
      <c r="N24" s="622">
        <f t="shared" si="1269"/>
        <v>26716.666666666668</v>
      </c>
      <c r="O24" s="622">
        <f t="shared" si="1269"/>
        <v>217.89779892977663</v>
      </c>
      <c r="P24" s="622">
        <f t="shared" si="1269"/>
        <v>19931.166666666664</v>
      </c>
      <c r="Q24" s="622">
        <f t="shared" si="1269"/>
        <v>1526.7409182182109</v>
      </c>
      <c r="R24" s="622">
        <f t="shared" si="1269"/>
        <v>23383.076923076922</v>
      </c>
      <c r="S24" s="622">
        <f t="shared" si="1269"/>
        <v>607960</v>
      </c>
      <c r="T24" s="622"/>
      <c r="U24" s="622">
        <f t="shared" si="1269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  <c r="FAP24" s="1"/>
      <c r="FAQ24" s="1"/>
      <c r="FAR24" s="1"/>
      <c r="FAS24" s="1"/>
      <c r="FAT24" s="1"/>
      <c r="FAU24" s="1"/>
    </row>
    <row r="25" spans="1:4105" x14ac:dyDescent="0.2">
      <c r="A25" s="12" t="s">
        <v>25</v>
      </c>
      <c r="B25" s="12"/>
      <c r="X25" s="2"/>
    </row>
    <row r="26" spans="1:4105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105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105" x14ac:dyDescent="0.2">
      <c r="C28" s="12"/>
      <c r="I28" s="448"/>
      <c r="X28" s="13"/>
      <c r="AA28" s="13"/>
      <c r="AB28" s="10"/>
      <c r="AC28" s="658"/>
    </row>
    <row r="29" spans="1:4105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105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105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105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</mergeCells>
  <conditionalFormatting sqref="Q7:Q23">
    <cfRule type="cellIs" dxfId="18" priority="1" operator="greaterThan">
      <formula>25</formula>
    </cfRule>
    <cfRule type="cellIs" dxfId="17" priority="2" operator="lessThan">
      <formula>15</formula>
    </cfRule>
    <cfRule type="cellIs" dxfId="16" priority="3" operator="between">
      <formula>15</formula>
      <formula>25</formula>
    </cfRule>
  </conditionalFormatting>
  <conditionalFormatting sqref="T7:T23">
    <cfRule type="cellIs" dxfId="15" priority="7" operator="between">
      <formula>25</formula>
      <formula>27</formula>
    </cfRule>
    <cfRule type="cellIs" dxfId="14" priority="8" operator="lessThan">
      <formula>25</formula>
    </cfRule>
    <cfRule type="cellIs" dxfId="13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I24" sqref="I24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905" t="s">
        <v>0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</row>
    <row r="2" spans="1:12" ht="15.75" x14ac:dyDescent="0.25">
      <c r="A2" s="921" t="s">
        <v>229</v>
      </c>
      <c r="B2" s="921"/>
      <c r="C2" s="921"/>
      <c r="D2" s="921"/>
      <c r="E2" s="921"/>
      <c r="F2" s="921"/>
      <c r="G2" s="921"/>
      <c r="H2" s="921"/>
      <c r="I2" s="921"/>
      <c r="J2" s="921"/>
      <c r="K2" s="921"/>
    </row>
    <row r="3" spans="1:12" s="18" customFormat="1" ht="21.75" customHeight="1" x14ac:dyDescent="0.2">
      <c r="A3" s="906" t="s">
        <v>230</v>
      </c>
      <c r="B3" s="906" t="s">
        <v>231</v>
      </c>
      <c r="C3" s="919" t="s">
        <v>232</v>
      </c>
      <c r="D3" s="920"/>
      <c r="E3" s="917" t="s">
        <v>233</v>
      </c>
      <c r="F3" s="918"/>
      <c r="G3" s="917" t="s">
        <v>234</v>
      </c>
      <c r="H3" s="918"/>
      <c r="I3" s="908" t="s">
        <v>235</v>
      </c>
      <c r="J3" s="909"/>
      <c r="K3" s="910"/>
    </row>
    <row r="4" spans="1:12" s="18" customFormat="1" ht="38.25" x14ac:dyDescent="0.2">
      <c r="A4" s="907"/>
      <c r="B4" s="907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900" t="s">
        <v>304</v>
      </c>
      <c r="B5" s="763">
        <v>5</v>
      </c>
      <c r="C5" s="157">
        <f>HIGRO!E73</f>
        <v>0</v>
      </c>
      <c r="D5" s="157">
        <f>HIGRO!F73</f>
        <v>4570</v>
      </c>
      <c r="E5" s="157">
        <f>HIGRO!G73</f>
        <v>0</v>
      </c>
      <c r="F5" s="157">
        <f>HIGRO!H73</f>
        <v>0</v>
      </c>
      <c r="G5" s="157">
        <f>HIGRO!I73</f>
        <v>0</v>
      </c>
      <c r="H5" s="157">
        <f>HIGRO!J73</f>
        <v>0</v>
      </c>
      <c r="I5" s="157">
        <f>HIGRO!K73</f>
        <v>0</v>
      </c>
      <c r="J5" s="157">
        <f>HIGRO!L73</f>
        <v>4570</v>
      </c>
      <c r="K5" s="157">
        <f>HIGRO!M73</f>
        <v>4570</v>
      </c>
      <c r="L5" s="853"/>
    </row>
    <row r="6" spans="1:12" s="1" customFormat="1" ht="15.2" customHeight="1" x14ac:dyDescent="0.2">
      <c r="A6" s="900"/>
      <c r="B6" s="35">
        <v>25</v>
      </c>
      <c r="C6" s="15">
        <f>HIGRO!E74</f>
        <v>0</v>
      </c>
      <c r="D6" s="15">
        <f>HIGRO!F74</f>
        <v>195080</v>
      </c>
      <c r="E6" s="15">
        <f>HIGRO!G74</f>
        <v>0</v>
      </c>
      <c r="F6" s="15">
        <f>HIGRO!H74</f>
        <v>26606</v>
      </c>
      <c r="G6" s="15">
        <f>HIGRO!I74</f>
        <v>0</v>
      </c>
      <c r="H6" s="15">
        <f>HIGRO!J74</f>
        <v>12316</v>
      </c>
      <c r="I6" s="15">
        <f>HIGRO!K74</f>
        <v>0</v>
      </c>
      <c r="J6" s="15">
        <f>HIGRO!L74</f>
        <v>209370</v>
      </c>
      <c r="K6" s="15">
        <f>HIGRO!M74</f>
        <v>209370</v>
      </c>
      <c r="L6" s="853"/>
    </row>
    <row r="7" spans="1:12" s="1" customFormat="1" ht="15.2" customHeight="1" x14ac:dyDescent="0.2">
      <c r="A7" s="35" t="s">
        <v>305</v>
      </c>
      <c r="B7" s="35">
        <v>25</v>
      </c>
      <c r="C7" s="15">
        <f>'CP&amp;STAR'!E22</f>
        <v>0</v>
      </c>
      <c r="D7" s="15">
        <f>'CP&amp;STAR'!F22</f>
        <v>18725</v>
      </c>
      <c r="E7" s="15">
        <f>'CP&amp;STAR'!G22</f>
        <v>0</v>
      </c>
      <c r="F7" s="15">
        <f>'CP&amp;STAR'!H22</f>
        <v>1736</v>
      </c>
      <c r="G7" s="15">
        <f>'CP&amp;STAR'!I22</f>
        <v>0</v>
      </c>
      <c r="H7" s="15">
        <f>'CP&amp;STAR'!J22</f>
        <v>885</v>
      </c>
      <c r="I7" s="15">
        <f>'CP&amp;STAR'!K22</f>
        <v>0</v>
      </c>
      <c r="J7" s="15">
        <f>'CP&amp;STAR'!L22</f>
        <v>19576</v>
      </c>
      <c r="K7" s="15">
        <f>'CP&amp;STAR'!M22</f>
        <v>19576</v>
      </c>
      <c r="L7" s="853"/>
    </row>
    <row r="8" spans="1:12" s="1" customFormat="1" ht="15.2" customHeight="1" x14ac:dyDescent="0.2">
      <c r="A8" s="901" t="s">
        <v>306</v>
      </c>
      <c r="B8" s="35">
        <v>25</v>
      </c>
      <c r="C8" s="15">
        <f>'CP&amp;STAR'!E62</f>
        <v>0</v>
      </c>
      <c r="D8" s="15">
        <f>'CP&amp;STAR'!F62</f>
        <v>67888</v>
      </c>
      <c r="E8" s="15">
        <f>'CP&amp;STAR'!G62</f>
        <v>0</v>
      </c>
      <c r="F8" s="15">
        <f>'CP&amp;STAR'!H62</f>
        <v>1783</v>
      </c>
      <c r="G8" s="15">
        <f>'CP&amp;STAR'!I62</f>
        <v>0</v>
      </c>
      <c r="H8" s="15">
        <f>'CP&amp;STAR'!J62</f>
        <v>891</v>
      </c>
      <c r="I8" s="15">
        <f>'CP&amp;STAR'!K62</f>
        <v>0</v>
      </c>
      <c r="J8" s="15">
        <f>'CP&amp;STAR'!L62</f>
        <v>68780</v>
      </c>
      <c r="K8" s="15">
        <f>'CP&amp;STAR'!M62</f>
        <v>68780</v>
      </c>
      <c r="L8" s="853"/>
    </row>
    <row r="9" spans="1:12" s="1" customFormat="1" ht="15.2" customHeight="1" x14ac:dyDescent="0.2">
      <c r="A9" s="925"/>
      <c r="B9" s="35">
        <v>40</v>
      </c>
      <c r="C9" s="15">
        <f>'CP&amp;STAR'!E63</f>
        <v>0</v>
      </c>
      <c r="D9" s="15">
        <f>'CP&amp;STAR'!F63</f>
        <v>3730</v>
      </c>
      <c r="E9" s="15">
        <f>'CP&amp;STAR'!G63</f>
        <v>0</v>
      </c>
      <c r="F9" s="15">
        <f>'CP&amp;STAR'!H63</f>
        <v>0</v>
      </c>
      <c r="G9" s="15">
        <f>'CP&amp;STAR'!I63</f>
        <v>0</v>
      </c>
      <c r="H9" s="15">
        <f>'CP&amp;STAR'!J63</f>
        <v>0</v>
      </c>
      <c r="I9" s="15">
        <f>'CP&amp;STAR'!K63</f>
        <v>0</v>
      </c>
      <c r="J9" s="15">
        <f>'CP&amp;STAR'!L63</f>
        <v>3730</v>
      </c>
      <c r="K9" s="15">
        <f>'CP&amp;STAR'!M63</f>
        <v>3730</v>
      </c>
      <c r="L9" s="853"/>
    </row>
    <row r="10" spans="1:12" s="1" customFormat="1" ht="15.2" customHeight="1" x14ac:dyDescent="0.2">
      <c r="A10" s="35" t="s">
        <v>307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20319</v>
      </c>
      <c r="E11" s="15">
        <f>'NASA &amp; NUVO'!G17</f>
        <v>0</v>
      </c>
      <c r="F11" s="15">
        <f>'NASA &amp; NUVO'!H17</f>
        <v>2000</v>
      </c>
      <c r="G11" s="15">
        <f>'NASA &amp; NUVO'!I17</f>
        <v>0</v>
      </c>
      <c r="H11" s="15">
        <f>'NASA &amp; NUVO'!J17</f>
        <v>1341</v>
      </c>
      <c r="I11" s="15">
        <f>'NASA &amp; NUVO'!K17</f>
        <v>0</v>
      </c>
      <c r="J11" s="15">
        <f>'NASA &amp; NUVO'!L17</f>
        <v>20978</v>
      </c>
      <c r="K11" s="15">
        <f>'NASA &amp; NUVO'!M17</f>
        <v>20978</v>
      </c>
      <c r="L11" s="853"/>
    </row>
    <row r="12" spans="1:12" s="1" customFormat="1" ht="15.2" customHeight="1" x14ac:dyDescent="0.2">
      <c r="A12" s="35" t="s">
        <v>496</v>
      </c>
      <c r="B12" s="631">
        <v>50</v>
      </c>
      <c r="C12" s="159">
        <f>FARM!E24</f>
        <v>0</v>
      </c>
      <c r="D12" s="159">
        <f>FARM!F24</f>
        <v>186969</v>
      </c>
      <c r="E12" s="159">
        <f>FARM!G24</f>
        <v>0</v>
      </c>
      <c r="F12" s="159">
        <f>FARM!H24</f>
        <v>31839</v>
      </c>
      <c r="G12" s="159">
        <f>FARM!I24</f>
        <v>0</v>
      </c>
      <c r="H12" s="159">
        <f>FARM!J24</f>
        <v>25687</v>
      </c>
      <c r="I12" s="159">
        <f>FARM!K24</f>
        <v>0</v>
      </c>
      <c r="J12" s="159">
        <f>FARM!L24</f>
        <v>193121</v>
      </c>
      <c r="K12" s="159">
        <f>FARM!M24</f>
        <v>193121</v>
      </c>
      <c r="L12" s="853"/>
    </row>
    <row r="13" spans="1:12" s="1" customFormat="1" ht="15.2" customHeight="1" x14ac:dyDescent="0.2">
      <c r="A13" s="901" t="s">
        <v>17</v>
      </c>
      <c r="B13" s="764">
        <v>5</v>
      </c>
      <c r="C13" s="762">
        <f>C5</f>
        <v>0</v>
      </c>
      <c r="D13" s="762">
        <f>D5</f>
        <v>4570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4570</v>
      </c>
      <c r="K13" s="762">
        <f t="shared" si="0"/>
        <v>4570</v>
      </c>
      <c r="L13" s="853"/>
    </row>
    <row r="14" spans="1:12" s="149" customFormat="1" ht="15.2" customHeight="1" x14ac:dyDescent="0.2">
      <c r="A14" s="900"/>
      <c r="B14" s="35">
        <v>25</v>
      </c>
      <c r="C14" s="15">
        <f>C6+C7+C8+C10+C11</f>
        <v>0</v>
      </c>
      <c r="D14" s="15">
        <f>D6+D7+D8+D10+D11</f>
        <v>306942</v>
      </c>
      <c r="E14" s="15">
        <f t="shared" ref="E14:K14" si="1">E6+E7+E8+E10+E11</f>
        <v>0</v>
      </c>
      <c r="F14" s="15">
        <f t="shared" si="1"/>
        <v>32125</v>
      </c>
      <c r="G14" s="15">
        <f t="shared" si="1"/>
        <v>0</v>
      </c>
      <c r="H14" s="15">
        <f t="shared" si="1"/>
        <v>15433</v>
      </c>
      <c r="I14" s="15">
        <f t="shared" si="1"/>
        <v>0</v>
      </c>
      <c r="J14" s="15">
        <f t="shared" si="1"/>
        <v>323634</v>
      </c>
      <c r="K14" s="15">
        <f t="shared" si="1"/>
        <v>323634</v>
      </c>
      <c r="L14" s="853"/>
    </row>
    <row r="15" spans="1:12" s="149" customFormat="1" ht="15.2" hidden="1" customHeight="1" x14ac:dyDescent="0.2">
      <c r="A15" s="900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900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902"/>
      <c r="B17" s="37">
        <v>50</v>
      </c>
      <c r="C17" s="160">
        <f t="shared" ref="C17:D17" si="3">C12</f>
        <v>0</v>
      </c>
      <c r="D17" s="160">
        <f t="shared" si="3"/>
        <v>186969</v>
      </c>
      <c r="E17" s="160">
        <f t="shared" ref="E17:K17" si="4">E12</f>
        <v>0</v>
      </c>
      <c r="F17" s="160">
        <f t="shared" si="4"/>
        <v>31839</v>
      </c>
      <c r="G17" s="160">
        <f t="shared" si="4"/>
        <v>0</v>
      </c>
      <c r="H17" s="160">
        <f t="shared" si="4"/>
        <v>25687</v>
      </c>
      <c r="I17" s="160">
        <f t="shared" si="4"/>
        <v>0</v>
      </c>
      <c r="J17" s="160">
        <f t="shared" si="4"/>
        <v>193121</v>
      </c>
      <c r="K17" s="160">
        <f t="shared" si="4"/>
        <v>193121</v>
      </c>
      <c r="L17" s="853"/>
    </row>
    <row r="18" spans="1:13" s="149" customFormat="1" ht="27.75" customHeight="1" thickBot="1" x14ac:dyDescent="0.25">
      <c r="A18" s="913" t="s">
        <v>239</v>
      </c>
      <c r="B18" s="914"/>
      <c r="C18" s="162">
        <f>C13+C14+C16+C17</f>
        <v>0</v>
      </c>
      <c r="D18" s="162">
        <f t="shared" ref="D18:K18" si="5">D13+D14+D16+D17</f>
        <v>502211</v>
      </c>
      <c r="E18" s="162">
        <f t="shared" si="5"/>
        <v>0</v>
      </c>
      <c r="F18" s="162">
        <f t="shared" si="5"/>
        <v>63964</v>
      </c>
      <c r="G18" s="162">
        <f t="shared" si="5"/>
        <v>0</v>
      </c>
      <c r="H18" s="162">
        <f t="shared" si="5"/>
        <v>41120</v>
      </c>
      <c r="I18" s="162">
        <f t="shared" si="5"/>
        <v>0</v>
      </c>
      <c r="J18" s="162">
        <f t="shared" si="5"/>
        <v>525055</v>
      </c>
      <c r="K18" s="162">
        <f t="shared" si="5"/>
        <v>525055</v>
      </c>
      <c r="L18" s="853"/>
      <c r="M18" s="150"/>
    </row>
    <row r="19" spans="1:13" s="149" customFormat="1" ht="33.75" customHeight="1" thickBot="1" x14ac:dyDescent="0.25">
      <c r="A19" s="915" t="s">
        <v>240</v>
      </c>
      <c r="B19" s="916"/>
      <c r="C19" s="922">
        <f>K18/(G18+H18)</f>
        <v>12.768847276264591</v>
      </c>
      <c r="D19" s="923"/>
      <c r="E19" s="923"/>
      <c r="F19" s="923"/>
      <c r="G19" s="923"/>
      <c r="H19" s="923"/>
      <c r="I19" s="923"/>
      <c r="J19" s="923"/>
      <c r="K19" s="924"/>
      <c r="L19" s="150"/>
    </row>
    <row r="20" spans="1:13" s="149" customFormat="1" ht="38.25" customHeight="1" thickBot="1" x14ac:dyDescent="0.25">
      <c r="A20" s="915" t="s">
        <v>241</v>
      </c>
      <c r="B20" s="916"/>
      <c r="C20" s="911">
        <f>K18/F32</f>
        <v>14.31027506394398</v>
      </c>
      <c r="D20" s="911"/>
      <c r="E20" s="911"/>
      <c r="F20" s="911"/>
      <c r="G20" s="911"/>
      <c r="H20" s="911"/>
      <c r="I20" s="911"/>
      <c r="J20" s="911"/>
      <c r="K20" s="912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903" t="s">
        <v>266</v>
      </c>
      <c r="E30" s="904"/>
      <c r="F30" s="904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8:A9"/>
    <mergeCell ref="A5:A6"/>
    <mergeCell ref="A13:A17"/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7"/>
  <sheetViews>
    <sheetView tabSelected="1" topLeftCell="C1"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487</v>
      </c>
      <c r="L1" s="770" t="s">
        <v>448</v>
      </c>
      <c r="M1" s="770" t="s">
        <v>449</v>
      </c>
      <c r="N1" s="770" t="s">
        <v>358</v>
      </c>
      <c r="O1" s="770" t="s">
        <v>439</v>
      </c>
      <c r="P1" s="770" t="s">
        <v>450</v>
      </c>
      <c r="Q1" s="771" t="s">
        <v>359</v>
      </c>
      <c r="R1" s="770" t="s">
        <v>439</v>
      </c>
      <c r="S1" s="770" t="s">
        <v>360</v>
      </c>
      <c r="T1" s="772" t="s">
        <v>437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2560</v>
      </c>
      <c r="H2" s="776"/>
      <c r="I2" s="1034"/>
      <c r="J2" s="1034"/>
      <c r="K2" s="1035"/>
      <c r="L2" s="778" t="s">
        <v>422</v>
      </c>
      <c r="M2" s="779">
        <v>2560</v>
      </c>
      <c r="N2" s="776" t="s">
        <v>361</v>
      </c>
      <c r="O2" s="779">
        <v>1280</v>
      </c>
      <c r="P2" s="780">
        <v>6397</v>
      </c>
      <c r="Q2" s="781" t="s">
        <v>528</v>
      </c>
      <c r="R2" s="782">
        <v>640</v>
      </c>
      <c r="S2" s="782">
        <v>-504</v>
      </c>
      <c r="T2" s="783">
        <v>21.5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2789</v>
      </c>
      <c r="H3" s="776"/>
      <c r="I3" s="1034"/>
      <c r="J3" s="1034"/>
      <c r="K3" s="1035"/>
      <c r="L3" s="778" t="s">
        <v>423</v>
      </c>
      <c r="M3" s="779">
        <v>2789</v>
      </c>
      <c r="N3" s="776" t="s">
        <v>508</v>
      </c>
      <c r="O3" s="779">
        <v>360</v>
      </c>
      <c r="P3" s="780">
        <v>2645</v>
      </c>
      <c r="Q3" s="785" t="s">
        <v>373</v>
      </c>
      <c r="R3" s="782">
        <v>7000</v>
      </c>
      <c r="S3" s="782">
        <v>-293</v>
      </c>
      <c r="T3" s="783">
        <v>15.5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2767</v>
      </c>
      <c r="H4" s="776"/>
      <c r="I4" s="1034"/>
      <c r="J4" s="1034"/>
      <c r="K4" s="1035"/>
      <c r="L4" s="778" t="s">
        <v>451</v>
      </c>
      <c r="M4" s="779">
        <v>2767</v>
      </c>
      <c r="N4" s="776" t="s">
        <v>362</v>
      </c>
      <c r="O4" s="779">
        <v>320</v>
      </c>
      <c r="P4" s="780">
        <v>8795</v>
      </c>
      <c r="Q4" s="781" t="s">
        <v>459</v>
      </c>
      <c r="R4" s="782">
        <v>1200</v>
      </c>
      <c r="S4" s="782">
        <v>-233</v>
      </c>
      <c r="T4" s="783"/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3180</v>
      </c>
      <c r="H5" s="776"/>
      <c r="I5" s="1034"/>
      <c r="J5" s="1034"/>
      <c r="K5" s="1035"/>
      <c r="L5" s="778" t="s">
        <v>424</v>
      </c>
      <c r="M5" s="779">
        <v>3180</v>
      </c>
      <c r="N5" s="776" t="s">
        <v>497</v>
      </c>
      <c r="O5" s="779">
        <v>2000</v>
      </c>
      <c r="P5" s="780">
        <v>19104</v>
      </c>
      <c r="Q5" s="781" t="s">
        <v>548</v>
      </c>
      <c r="R5" s="782">
        <v>44200</v>
      </c>
      <c r="S5" s="782">
        <v>-14206</v>
      </c>
      <c r="T5" s="783">
        <v>15.5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1034"/>
      <c r="J6" s="1034"/>
      <c r="K6" s="1035"/>
      <c r="L6" s="778" t="s">
        <v>452</v>
      </c>
      <c r="M6" s="779">
        <v>1739</v>
      </c>
      <c r="N6" s="776" t="s">
        <v>363</v>
      </c>
      <c r="O6" s="779">
        <v>8400</v>
      </c>
      <c r="P6" s="780">
        <v>12704</v>
      </c>
      <c r="Q6" s="785" t="s">
        <v>380</v>
      </c>
      <c r="R6" s="782">
        <v>480</v>
      </c>
      <c r="S6" s="782">
        <v>-370</v>
      </c>
      <c r="T6" s="783">
        <v>19.5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441</v>
      </c>
      <c r="F7" s="776"/>
      <c r="G7" s="777">
        <f>_xlfn.XLOOKUP(E7,HIGRO!$C$1:$C$500,HIGRO!$M$1:$M$500)</f>
        <v>2434</v>
      </c>
      <c r="H7" s="776"/>
      <c r="I7" s="1034"/>
      <c r="J7" s="1034"/>
      <c r="K7" s="1034"/>
      <c r="L7" s="778" t="s">
        <v>447</v>
      </c>
      <c r="M7" s="779">
        <v>2434</v>
      </c>
      <c r="N7" s="776" t="s">
        <v>364</v>
      </c>
      <c r="O7" s="779">
        <v>960</v>
      </c>
      <c r="P7" s="780">
        <v>6716</v>
      </c>
      <c r="Q7" s="781" t="s">
        <v>386</v>
      </c>
      <c r="R7" s="782">
        <v>11800</v>
      </c>
      <c r="S7" s="782">
        <v>-7936</v>
      </c>
      <c r="T7" s="783">
        <v>15.5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298</v>
      </c>
      <c r="F8" s="776"/>
      <c r="G8" s="777">
        <f>_xlfn.XLOOKUP(E8,HIGRO!$C$1:$C$500,HIGRO!$M$1:$M$500)</f>
        <v>7453</v>
      </c>
      <c r="H8" s="776"/>
      <c r="I8" s="1034"/>
      <c r="J8" s="1034"/>
      <c r="K8" s="1034"/>
      <c r="L8" s="778" t="s">
        <v>403</v>
      </c>
      <c r="M8" s="779">
        <v>7453</v>
      </c>
      <c r="N8" s="776" t="s">
        <v>469</v>
      </c>
      <c r="O8" s="779">
        <v>640</v>
      </c>
      <c r="P8" s="780">
        <v>1700</v>
      </c>
      <c r="Q8" s="786" t="s">
        <v>556</v>
      </c>
      <c r="R8" s="782">
        <v>640</v>
      </c>
      <c r="S8" s="782">
        <v>-250</v>
      </c>
      <c r="T8" s="783"/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340</v>
      </c>
      <c r="F9" s="776"/>
      <c r="G9" s="777">
        <f>_xlfn.XLOOKUP(E9,HIGRO!$C$1:$C$500,HIGRO!$M$1:$M$500)</f>
        <v>838</v>
      </c>
      <c r="H9" s="776"/>
      <c r="I9" s="1034"/>
      <c r="J9" s="1034"/>
      <c r="K9" s="1034"/>
      <c r="L9" s="778" t="s">
        <v>453</v>
      </c>
      <c r="M9" s="779">
        <v>838</v>
      </c>
      <c r="N9" s="776" t="s">
        <v>365</v>
      </c>
      <c r="O9" s="779">
        <v>1600</v>
      </c>
      <c r="P9" s="780">
        <v>1809</v>
      </c>
      <c r="Q9" s="781"/>
      <c r="R9" s="782"/>
      <c r="S9" s="782"/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1874</v>
      </c>
      <c r="H10" s="776"/>
      <c r="I10" s="1034"/>
      <c r="J10" s="1034"/>
      <c r="K10" s="1034"/>
      <c r="L10" s="778" t="s">
        <v>409</v>
      </c>
      <c r="M10" s="779">
        <v>1874</v>
      </c>
      <c r="N10" s="776" t="s">
        <v>366</v>
      </c>
      <c r="O10" s="779">
        <v>320</v>
      </c>
      <c r="P10" s="780">
        <v>302</v>
      </c>
      <c r="Q10" s="781"/>
      <c r="R10" s="782"/>
      <c r="S10" s="782"/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1137</v>
      </c>
      <c r="H11" s="776"/>
      <c r="I11" s="1034"/>
      <c r="J11" s="1034"/>
      <c r="K11" s="1034"/>
      <c r="L11" s="778" t="s">
        <v>404</v>
      </c>
      <c r="M11" s="779">
        <v>1137</v>
      </c>
      <c r="N11" s="776" t="s">
        <v>528</v>
      </c>
      <c r="O11" s="779">
        <v>640</v>
      </c>
      <c r="P11" s="780">
        <v>-504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10245</v>
      </c>
      <c r="H12" s="776"/>
      <c r="I12" s="1034"/>
      <c r="J12" s="1034"/>
      <c r="K12" s="1034"/>
      <c r="L12" s="778" t="s">
        <v>407</v>
      </c>
      <c r="M12" s="779">
        <v>10245</v>
      </c>
      <c r="N12" s="776" t="s">
        <v>443</v>
      </c>
      <c r="O12" s="779">
        <v>480</v>
      </c>
      <c r="P12" s="780">
        <v>11874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2314</v>
      </c>
      <c r="H13" s="776"/>
      <c r="I13" s="1034"/>
      <c r="J13" s="1034"/>
      <c r="K13" s="1034"/>
      <c r="L13" s="778" t="s">
        <v>444</v>
      </c>
      <c r="M13" s="779">
        <v>2314</v>
      </c>
      <c r="N13" s="776" t="s">
        <v>498</v>
      </c>
      <c r="O13" s="779">
        <v>1280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1034"/>
      <c r="J14" s="1034"/>
      <c r="K14" s="1034"/>
      <c r="L14" s="778" t="s">
        <v>410</v>
      </c>
      <c r="M14" s="779">
        <v>3133</v>
      </c>
      <c r="N14" s="776" t="s">
        <v>367</v>
      </c>
      <c r="O14" s="779">
        <v>5400</v>
      </c>
      <c r="P14" s="780">
        <v>6954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346</v>
      </c>
      <c r="F15" s="776"/>
      <c r="G15" s="777">
        <f>_xlfn.XLOOKUP(E15,HIGRO!$C$1:$C$500,HIGRO!$M$1:$M$500)</f>
        <v>4778</v>
      </c>
      <c r="H15" s="776"/>
      <c r="I15" s="1034"/>
      <c r="J15" s="1034"/>
      <c r="K15" s="1034"/>
      <c r="L15" s="778" t="s">
        <v>454</v>
      </c>
      <c r="M15" s="779">
        <v>4778</v>
      </c>
      <c r="N15" s="776" t="s">
        <v>368</v>
      </c>
      <c r="O15" s="779">
        <v>320</v>
      </c>
      <c r="P15" s="780">
        <v>4355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347</v>
      </c>
      <c r="F16" s="776"/>
      <c r="G16" s="777">
        <f>_xlfn.XLOOKUP(E16,HIGRO!$C$1:$C$500,HIGRO!$M$1:$M$500)</f>
        <v>3666</v>
      </c>
      <c r="H16" s="776"/>
      <c r="I16" s="1034"/>
      <c r="J16" s="1034"/>
      <c r="K16" s="1034"/>
      <c r="L16" s="778" t="s">
        <v>455</v>
      </c>
      <c r="M16" s="779">
        <v>3666</v>
      </c>
      <c r="N16" s="776" t="s">
        <v>547</v>
      </c>
      <c r="O16" s="779">
        <v>320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297</v>
      </c>
      <c r="F17" s="776"/>
      <c r="G17" s="777">
        <f>_xlfn.XLOOKUP(E17,HIGRO!$C$1:$C$500,HIGRO!$M$1:$M$500)</f>
        <v>491</v>
      </c>
      <c r="H17" s="776"/>
      <c r="I17" s="1034"/>
      <c r="J17" s="1034"/>
      <c r="K17" s="1034"/>
      <c r="L17" s="778" t="s">
        <v>445</v>
      </c>
      <c r="M17" s="779">
        <v>491</v>
      </c>
      <c r="N17" s="776" t="s">
        <v>369</v>
      </c>
      <c r="O17" s="779">
        <v>5800</v>
      </c>
      <c r="P17" s="780">
        <v>1496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355</v>
      </c>
      <c r="F18" s="776"/>
      <c r="G18" s="777">
        <f>_xlfn.XLOOKUP(E18,HIGRO!$C$1:$C$500,HIGRO!$M$1:$M$500)</f>
        <v>131</v>
      </c>
      <c r="H18" s="776"/>
      <c r="I18" s="1034"/>
      <c r="J18" s="1034"/>
      <c r="K18" s="1034"/>
      <c r="L18" s="778" t="s">
        <v>488</v>
      </c>
      <c r="M18" s="779">
        <v>131</v>
      </c>
      <c r="N18" s="776" t="s">
        <v>499</v>
      </c>
      <c r="O18" s="779">
        <v>2900</v>
      </c>
      <c r="P18" s="780" t="e">
        <v>#N/A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349</v>
      </c>
      <c r="F19" s="776"/>
      <c r="G19" s="777">
        <f>_xlfn.XLOOKUP(E19,HIGRO!$C$1:$C$500,HIGRO!$M$1:$M$500)</f>
        <v>390</v>
      </c>
      <c r="H19" s="776"/>
      <c r="I19" s="1034"/>
      <c r="J19" s="1034"/>
      <c r="K19" s="1034"/>
      <c r="L19" s="778" t="s">
        <v>489</v>
      </c>
      <c r="M19" s="779">
        <v>390</v>
      </c>
      <c r="N19" s="776" t="s">
        <v>502</v>
      </c>
      <c r="O19" s="779">
        <v>1680</v>
      </c>
      <c r="P19" s="780">
        <v>5616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321</v>
      </c>
      <c r="F20" s="776"/>
      <c r="G20" s="777">
        <f>_xlfn.XLOOKUP(E20,HIGRO!$C$1:$C$500,HIGRO!$M$1:$M$500)</f>
        <v>1274</v>
      </c>
      <c r="H20" s="776"/>
      <c r="I20" s="1034"/>
      <c r="J20" s="1034"/>
      <c r="K20" s="1034"/>
      <c r="L20" s="778" t="s">
        <v>446</v>
      </c>
      <c r="M20" s="779">
        <v>1274</v>
      </c>
      <c r="N20" s="776" t="s">
        <v>170</v>
      </c>
      <c r="O20" s="779"/>
      <c r="P20" s="780"/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357</v>
      </c>
      <c r="F21" s="776"/>
      <c r="G21" s="777">
        <f>_xlfn.XLOOKUP(E21,HIGRO!$C$1:$C$500,HIGRO!$M$1:$M$500)</f>
        <v>2952</v>
      </c>
      <c r="H21" s="776"/>
      <c r="I21" s="1034"/>
      <c r="J21" s="1034"/>
      <c r="K21" s="1034"/>
      <c r="L21" s="778" t="s">
        <v>490</v>
      </c>
      <c r="M21" s="779">
        <v>2952</v>
      </c>
      <c r="N21" s="776" t="s">
        <v>370</v>
      </c>
      <c r="O21" s="779">
        <v>1920</v>
      </c>
      <c r="P21" s="780">
        <v>4570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285</v>
      </c>
      <c r="F22" s="776"/>
      <c r="G22" s="777">
        <f>_xlfn.XLOOKUP(E22,HIGRO!$C$1:$C$500,HIGRO!$M$1:$M$500)</f>
        <v>6046</v>
      </c>
      <c r="H22" s="776"/>
      <c r="I22" s="1034"/>
      <c r="J22" s="1034"/>
      <c r="K22" s="1034"/>
      <c r="L22" s="778" t="s">
        <v>411</v>
      </c>
      <c r="M22" s="779">
        <v>6046</v>
      </c>
      <c r="N22" s="776" t="s">
        <v>372</v>
      </c>
      <c r="O22" s="779">
        <v>2240</v>
      </c>
      <c r="P22" s="780">
        <v>4170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286</v>
      </c>
      <c r="F23" s="776"/>
      <c r="G23" s="777">
        <f>_xlfn.XLOOKUP(E23,HIGRO!$C$1:$C$500,HIGRO!$M$1:$M$500)</f>
        <v>3809</v>
      </c>
      <c r="H23" s="776"/>
      <c r="I23" s="1034"/>
      <c r="J23" s="1034"/>
      <c r="K23" s="1034"/>
      <c r="L23" s="778" t="s">
        <v>411</v>
      </c>
      <c r="M23" s="779">
        <v>3809</v>
      </c>
      <c r="N23" s="776" t="s">
        <v>373</v>
      </c>
      <c r="O23" s="779">
        <v>7000</v>
      </c>
      <c r="P23" s="780">
        <v>-293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1034"/>
      <c r="J24" s="1034"/>
      <c r="K24" s="1034"/>
      <c r="L24" s="778" t="s">
        <v>456</v>
      </c>
      <c r="M24" s="779">
        <v>3621</v>
      </c>
      <c r="N24" s="776" t="s">
        <v>374</v>
      </c>
      <c r="O24" s="779">
        <v>800</v>
      </c>
      <c r="P24" s="780">
        <v>1643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4424</v>
      </c>
      <c r="H25" s="789" t="s">
        <v>324</v>
      </c>
      <c r="I25" s="1034"/>
      <c r="J25" s="1034"/>
      <c r="K25" s="1034"/>
      <c r="L25" s="778" t="s">
        <v>421</v>
      </c>
      <c r="M25" s="779">
        <v>4424</v>
      </c>
      <c r="N25" s="776" t="s">
        <v>459</v>
      </c>
      <c r="O25" s="779">
        <v>1200</v>
      </c>
      <c r="P25" s="780">
        <v>-233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323</v>
      </c>
      <c r="F26" s="852"/>
      <c r="G26" s="777">
        <f>_xlfn.XLOOKUP(E26,HIGRO!$C$1:$C$500,HIGRO!$M$1:$M$500)</f>
        <v>0</v>
      </c>
      <c r="H26" s="776"/>
      <c r="I26" s="1034"/>
      <c r="J26" s="1034"/>
      <c r="K26" s="1034"/>
      <c r="L26" s="778" t="s">
        <v>413</v>
      </c>
      <c r="M26" s="779">
        <v>1192</v>
      </c>
      <c r="N26" s="776" t="s">
        <v>548</v>
      </c>
      <c r="O26" s="779">
        <v>44200</v>
      </c>
      <c r="P26" s="780">
        <v>-14206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1192</v>
      </c>
      <c r="H27" s="776"/>
      <c r="I27" s="1034"/>
      <c r="J27" s="1034"/>
      <c r="K27" s="1034"/>
      <c r="L27" s="778" t="s">
        <v>416</v>
      </c>
      <c r="M27" s="779">
        <v>3325</v>
      </c>
      <c r="N27" s="776" t="s">
        <v>436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3325</v>
      </c>
      <c r="H28" s="776"/>
      <c r="I28" s="1034"/>
      <c r="J28" s="1034"/>
      <c r="K28" s="1034"/>
      <c r="L28" s="778" t="s">
        <v>362</v>
      </c>
      <c r="M28" s="779">
        <v>9115</v>
      </c>
      <c r="N28" s="776" t="s">
        <v>376</v>
      </c>
      <c r="O28" s="779">
        <v>320</v>
      </c>
      <c r="P28" s="780">
        <v>356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9115</v>
      </c>
      <c r="H29" s="776"/>
      <c r="I29" s="1034"/>
      <c r="J29" s="1034"/>
      <c r="K29" s="1034"/>
      <c r="L29" s="778" t="s">
        <v>508</v>
      </c>
      <c r="M29" s="779">
        <v>3005</v>
      </c>
      <c r="N29" s="776" t="s">
        <v>377</v>
      </c>
      <c r="O29" s="779">
        <v>960</v>
      </c>
      <c r="P29" s="780">
        <v>180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525</v>
      </c>
      <c r="F30" s="852"/>
      <c r="G30" s="777">
        <f>_xlfn.XLOOKUP(E30,HIGRO!$C$1:$C$500,HIGRO!$M$1:$M$500)</f>
        <v>3005</v>
      </c>
      <c r="H30" s="776"/>
      <c r="I30" s="1034"/>
      <c r="J30" s="1034"/>
      <c r="K30" s="1034"/>
      <c r="L30" s="778" t="s">
        <v>537</v>
      </c>
      <c r="M30" s="779">
        <v>7677</v>
      </c>
      <c r="N30" s="776" t="s">
        <v>378</v>
      </c>
      <c r="O30" s="779">
        <v>6400</v>
      </c>
      <c r="P30" s="780">
        <v>12606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299</v>
      </c>
      <c r="F31" s="852"/>
      <c r="G31" s="777">
        <f>_xlfn.XLOOKUP(E31,HIGRO!$C$1:$C$500,HIGRO!$M$1:$M$500)</f>
        <v>7677</v>
      </c>
      <c r="H31" s="776"/>
      <c r="I31" s="1034"/>
      <c r="J31" s="1034"/>
      <c r="K31" s="1034"/>
      <c r="L31" s="778" t="s">
        <v>365</v>
      </c>
      <c r="M31" s="779">
        <v>3409</v>
      </c>
      <c r="N31" s="776" t="s">
        <v>379</v>
      </c>
      <c r="O31" s="779">
        <v>800</v>
      </c>
      <c r="P31" s="780">
        <v>1788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3409</v>
      </c>
      <c r="H32" s="776"/>
      <c r="I32" s="1034"/>
      <c r="J32" s="1034"/>
      <c r="K32" s="1034"/>
      <c r="L32" s="778" t="s">
        <v>528</v>
      </c>
      <c r="M32" s="779">
        <v>136</v>
      </c>
      <c r="N32" s="776" t="s">
        <v>380</v>
      </c>
      <c r="O32" s="779">
        <v>480</v>
      </c>
      <c r="P32" s="780">
        <v>-370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526</v>
      </c>
      <c r="F33" s="852"/>
      <c r="G33" s="777">
        <f>_xlfn.XLOOKUP(E33,HIGRO!$C$1:$C$500,HIGRO!$M$1:$M$500)</f>
        <v>136</v>
      </c>
      <c r="H33" s="776"/>
      <c r="I33" s="1034"/>
      <c r="J33" s="1034"/>
      <c r="K33" s="1034"/>
      <c r="L33" s="778" t="s">
        <v>538</v>
      </c>
      <c r="M33" s="779">
        <v>7676</v>
      </c>
      <c r="N33" s="776" t="s">
        <v>549</v>
      </c>
      <c r="O33" s="779">
        <v>2600</v>
      </c>
      <c r="P33" s="780">
        <v>40014</v>
      </c>
      <c r="Q33" s="787"/>
      <c r="R33" s="788"/>
      <c r="S33" s="788"/>
    </row>
    <row r="34" spans="1:19" x14ac:dyDescent="0.2">
      <c r="A34" s="765" t="str">
        <f t="shared" si="1"/>
        <v>551Pro25</v>
      </c>
      <c r="B34" s="773" t="str">
        <f t="shared" ref="B34:B65" si="2">IFERROR(TRIM(_xlfn.TEXTBEFORE(_xlfn.TEXTAFTER(E34, "-"), "-")),"")</f>
        <v>551Pro</v>
      </c>
      <c r="C34" s="850" t="str">
        <f>_xlfn.XLOOKUP(E34,HIGRO!$C$1:$C$500,HIGRO!$B$1:$B$500)</f>
        <v>1290B705511625</v>
      </c>
      <c r="D34" s="851">
        <f>_xlfn.XLOOKUP(E34,HIGRO!$C$1:$C$500,HIGRO!$D$1:$D$500)</f>
        <v>25</v>
      </c>
      <c r="E34" s="852" t="s">
        <v>300</v>
      </c>
      <c r="F34" s="852"/>
      <c r="G34" s="777">
        <f>_xlfn.XLOOKUP(E34,HIGRO!$C$1:$C$500,HIGRO!$M$1:$M$500)</f>
        <v>7676</v>
      </c>
      <c r="H34" s="776"/>
      <c r="I34" s="1034"/>
      <c r="J34" s="1034"/>
      <c r="K34" s="1034"/>
      <c r="L34" s="778" t="s">
        <v>368</v>
      </c>
      <c r="M34" s="779">
        <v>4675</v>
      </c>
      <c r="N34" s="776" t="s">
        <v>550</v>
      </c>
      <c r="O34" s="779">
        <v>41000</v>
      </c>
      <c r="P34" s="780">
        <v>1614</v>
      </c>
      <c r="Q34" s="787"/>
      <c r="R34" s="788"/>
      <c r="S34" s="788"/>
    </row>
    <row r="35" spans="1:19" x14ac:dyDescent="0.2">
      <c r="A35" s="765" t="str">
        <f t="shared" si="1"/>
        <v>551GP25</v>
      </c>
      <c r="B35" s="773" t="str">
        <f t="shared" si="2"/>
        <v>551GP</v>
      </c>
      <c r="C35" s="850" t="str">
        <f>_xlfn.XLOOKUP(E35,HIGRO!$C$1:$C$500,HIGRO!$B$1:$B$500)</f>
        <v>1290D205511625</v>
      </c>
      <c r="D35" s="851">
        <f>_xlfn.XLOOKUP(E35,HIGRO!$C$1:$C$500,HIGRO!$D$1:$D$500)</f>
        <v>25</v>
      </c>
      <c r="E35" s="852" t="s">
        <v>86</v>
      </c>
      <c r="F35" s="852"/>
      <c r="G35" s="777">
        <f>_xlfn.XLOOKUP(E35,HIGRO!$C$1:$C$500,HIGRO!$M$1:$M$500)</f>
        <v>4675</v>
      </c>
      <c r="H35" s="776"/>
      <c r="I35" s="1034"/>
      <c r="J35" s="1034"/>
      <c r="K35" s="1034"/>
      <c r="L35" s="778" t="s">
        <v>510</v>
      </c>
      <c r="M35" s="779">
        <v>1927</v>
      </c>
      <c r="N35" s="776" t="s">
        <v>382</v>
      </c>
      <c r="O35" s="779">
        <v>2240</v>
      </c>
      <c r="P35" s="780">
        <v>2175</v>
      </c>
      <c r="Q35" s="787"/>
      <c r="R35" s="788"/>
      <c r="S35" s="788"/>
    </row>
    <row r="36" spans="1:19" x14ac:dyDescent="0.2">
      <c r="A36" s="765" t="str">
        <f t="shared" si="1"/>
        <v>551GPX25</v>
      </c>
      <c r="B36" s="773" t="str">
        <f t="shared" si="2"/>
        <v>551GPX</v>
      </c>
      <c r="C36" s="850" t="str">
        <f>_xlfn.XLOOKUP(E36,HIGRO!$C$1:$C$500,HIGRO!$B$1:$B$500)</f>
        <v>1290H605514925</v>
      </c>
      <c r="D36" s="851">
        <f>_xlfn.XLOOKUP(E36,HIGRO!$C$1:$C$500,HIGRO!$D$1:$D$500)</f>
        <v>25</v>
      </c>
      <c r="E36" s="852" t="s">
        <v>527</v>
      </c>
      <c r="F36" s="852"/>
      <c r="G36" s="777">
        <f>_xlfn.XLOOKUP(E36,HIGRO!$C$1:$C$500,HIGRO!$M$1:$M$500)</f>
        <v>1927</v>
      </c>
      <c r="H36" s="776"/>
      <c r="I36" s="1034"/>
      <c r="J36" s="1034"/>
      <c r="K36" s="1034"/>
      <c r="L36" s="778" t="s">
        <v>378</v>
      </c>
      <c r="M36" s="779">
        <v>19006</v>
      </c>
      <c r="N36" s="776" t="s">
        <v>383</v>
      </c>
      <c r="O36" s="779">
        <v>320</v>
      </c>
      <c r="P36" s="780">
        <v>3485</v>
      </c>
      <c r="Q36" s="787"/>
      <c r="R36" s="788"/>
      <c r="S36" s="788"/>
    </row>
    <row r="37" spans="1:19" x14ac:dyDescent="0.2">
      <c r="A37" s="765" t="str">
        <f t="shared" si="1"/>
        <v>55225</v>
      </c>
      <c r="B37" s="773" t="str">
        <f t="shared" si="2"/>
        <v>552</v>
      </c>
      <c r="C37" s="850" t="str">
        <f>_xlfn.XLOOKUP(E37,HIGRO!$C$1:$C$500,HIGRO!$B$1:$B$500)</f>
        <v>1290D205520025</v>
      </c>
      <c r="D37" s="851">
        <f>_xlfn.XLOOKUP(E37,HIGRO!$C$1:$C$500,HIGRO!$D$1:$D$500)</f>
        <v>25</v>
      </c>
      <c r="E37" s="852" t="s">
        <v>88</v>
      </c>
      <c r="F37" s="852"/>
      <c r="G37" s="777">
        <f>_xlfn.XLOOKUP(E37,HIGRO!$C$1:$C$500,HIGRO!$M$1:$M$500)</f>
        <v>19006</v>
      </c>
      <c r="H37" s="776"/>
      <c r="I37" s="1034"/>
      <c r="J37" s="1034"/>
      <c r="K37" s="1034"/>
      <c r="L37" s="778" t="s">
        <v>376</v>
      </c>
      <c r="M37" s="779">
        <v>676</v>
      </c>
      <c r="N37" s="776" t="s">
        <v>521</v>
      </c>
      <c r="O37" s="779">
        <v>640</v>
      </c>
      <c r="P37" s="780">
        <v>9085</v>
      </c>
      <c r="Q37" s="787"/>
      <c r="R37" s="788"/>
      <c r="S37" s="788"/>
    </row>
    <row r="38" spans="1:19" x14ac:dyDescent="0.2">
      <c r="A38" s="765" t="str">
        <f t="shared" si="1"/>
        <v>552E25</v>
      </c>
      <c r="B38" s="773" t="str">
        <f t="shared" si="2"/>
        <v>552E</v>
      </c>
      <c r="C38" s="850" t="str">
        <f>_xlfn.XLOOKUP(E38,HIGRO!$C$1:$C$500,HIGRO!$B$1:$B$500)</f>
        <v>1290H605520525</v>
      </c>
      <c r="D38" s="851">
        <f>_xlfn.XLOOKUP(E38,HIGRO!$C$1:$C$500,HIGRO!$D$1:$D$500)</f>
        <v>25</v>
      </c>
      <c r="E38" s="852" t="s">
        <v>311</v>
      </c>
      <c r="F38" s="852"/>
      <c r="G38" s="777">
        <f>_xlfn.XLOOKUP(E38,HIGRO!$C$1:$C$500,HIGRO!$M$1:$M$500)</f>
        <v>676</v>
      </c>
      <c r="H38" s="776"/>
      <c r="I38" s="1034"/>
      <c r="J38" s="1034"/>
      <c r="K38" s="1034"/>
      <c r="L38" s="778" t="s">
        <v>539</v>
      </c>
      <c r="M38" s="779">
        <v>1140</v>
      </c>
      <c r="N38" s="776" t="s">
        <v>384</v>
      </c>
      <c r="O38" s="779">
        <v>4800</v>
      </c>
      <c r="P38" s="780">
        <v>2141</v>
      </c>
      <c r="Q38" s="787"/>
      <c r="R38" s="788"/>
      <c r="S38" s="788"/>
    </row>
    <row r="39" spans="1:19" x14ac:dyDescent="0.2">
      <c r="A39" s="765" t="str">
        <f t="shared" si="1"/>
        <v>552Pro25</v>
      </c>
      <c r="B39" s="773" t="str">
        <f t="shared" si="2"/>
        <v>552Pro</v>
      </c>
      <c r="C39" s="850" t="str">
        <f>_xlfn.XLOOKUP(E39,HIGRO!$C$1:$C$500,HIGRO!$B$1:$B$500)</f>
        <v>1290H205521625</v>
      </c>
      <c r="D39" s="851">
        <f>_xlfn.XLOOKUP(E39,HIGRO!$C$1:$C$500,HIGRO!$D$1:$D$500)</f>
        <v>25</v>
      </c>
      <c r="E39" s="852" t="s">
        <v>177</v>
      </c>
      <c r="F39" s="852"/>
      <c r="G39" s="777">
        <f>_xlfn.XLOOKUP(E39,HIGRO!$C$1:$C$500,HIGRO!$M$1:$M$500)</f>
        <v>1140</v>
      </c>
      <c r="H39" s="776"/>
      <c r="I39" s="1034"/>
      <c r="J39" s="1034"/>
      <c r="K39" s="1034"/>
      <c r="L39" s="778" t="s">
        <v>382</v>
      </c>
      <c r="M39" s="779">
        <v>4415</v>
      </c>
      <c r="N39" s="776" t="s">
        <v>386</v>
      </c>
      <c r="O39" s="779">
        <v>11800</v>
      </c>
      <c r="P39" s="780">
        <v>-7936</v>
      </c>
      <c r="Q39" s="787"/>
      <c r="R39" s="788"/>
      <c r="S39" s="788"/>
    </row>
    <row r="40" spans="1:19" x14ac:dyDescent="0.2">
      <c r="A40" s="765" t="str">
        <f t="shared" si="1"/>
        <v>552M25</v>
      </c>
      <c r="B40" s="773" t="str">
        <f t="shared" si="2"/>
        <v>552M</v>
      </c>
      <c r="C40" s="850" t="str">
        <f>_xlfn.XLOOKUP(E40,HIGRO!$C$1:$C$500,HIGRO!$B$1:$B$500)</f>
        <v>1290D205521325</v>
      </c>
      <c r="D40" s="851">
        <f>_xlfn.XLOOKUP(E40,HIGRO!$C$1:$C$500,HIGRO!$D$1:$D$500)</f>
        <v>25</v>
      </c>
      <c r="E40" s="852" t="s">
        <v>90</v>
      </c>
      <c r="F40" s="852"/>
      <c r="G40" s="777">
        <f>_xlfn.XLOOKUP(E40,HIGRO!$C$1:$C$500,HIGRO!$M$1:$M$500)</f>
        <v>4415</v>
      </c>
      <c r="H40" s="776"/>
      <c r="I40" s="1034"/>
      <c r="J40" s="1034"/>
      <c r="K40" s="1034"/>
      <c r="L40" s="778" t="s">
        <v>383</v>
      </c>
      <c r="M40" s="779">
        <v>3805</v>
      </c>
      <c r="N40" s="776" t="s">
        <v>387</v>
      </c>
      <c r="O40" s="779">
        <v>2200</v>
      </c>
      <c r="P40" s="780">
        <v>958</v>
      </c>
      <c r="Q40" s="787"/>
      <c r="R40" s="788"/>
      <c r="S40" s="788"/>
    </row>
    <row r="41" spans="1:19" x14ac:dyDescent="0.2">
      <c r="A41" s="765" t="str">
        <f t="shared" si="1"/>
        <v>552MX25</v>
      </c>
      <c r="B41" s="773" t="str">
        <f t="shared" si="2"/>
        <v>552MX</v>
      </c>
      <c r="C41" s="774" t="str">
        <f>_xlfn.XLOOKUP(E41,HIGRO!$C$1:$C$500,HIGRO!$B$1:$B$500)</f>
        <v>1290D205527925</v>
      </c>
      <c r="D41" s="775">
        <f>_xlfn.XLOOKUP(E41,HIGRO!$C$1:$C$500,HIGRO!$D$1:$D$500)</f>
        <v>25</v>
      </c>
      <c r="E41" s="776" t="s">
        <v>144</v>
      </c>
      <c r="F41" s="776"/>
      <c r="G41" s="777">
        <f>_xlfn.XLOOKUP(E41,HIGRO!$C$1:$C$500,HIGRO!$M$1:$M$500)</f>
        <v>3805</v>
      </c>
      <c r="H41" s="776"/>
      <c r="I41" s="1034"/>
      <c r="J41" s="1034"/>
      <c r="K41" s="1034"/>
      <c r="L41" s="778" t="s">
        <v>373</v>
      </c>
      <c r="M41" s="779">
        <v>6707</v>
      </c>
      <c r="N41" s="776" t="s">
        <v>388</v>
      </c>
      <c r="O41" s="779">
        <v>1000</v>
      </c>
      <c r="P41" s="780">
        <v>736</v>
      </c>
      <c r="Q41" s="787"/>
      <c r="R41" s="788"/>
      <c r="S41" s="788"/>
    </row>
    <row r="42" spans="1:19" x14ac:dyDescent="0.2">
      <c r="A42" s="765" t="str">
        <f t="shared" si="1"/>
        <v>552S25</v>
      </c>
      <c r="B42" s="773" t="str">
        <f t="shared" si="2"/>
        <v>552S</v>
      </c>
      <c r="C42" s="774" t="str">
        <f>_xlfn.XLOOKUP(E42,HIGRO!$C$1:$C$500,HIGRO!$B$1:$B$500)</f>
        <v>1290D205521925</v>
      </c>
      <c r="D42" s="775">
        <f>_xlfn.XLOOKUP(E42,HIGRO!$C$1:$C$500,HIGRO!$D$1:$D$500)</f>
        <v>25</v>
      </c>
      <c r="E42" s="776" t="s">
        <v>92</v>
      </c>
      <c r="F42" s="776"/>
      <c r="G42" s="777">
        <f>_xlfn.XLOOKUP(E42,HIGRO!$C$1:$C$500,HIGRO!$M$1:$M$500)</f>
        <v>6707</v>
      </c>
      <c r="H42" s="776"/>
      <c r="I42" s="1034"/>
      <c r="J42" s="1034"/>
      <c r="K42" s="1034"/>
      <c r="L42" s="778" t="s">
        <v>540</v>
      </c>
      <c r="M42" s="779">
        <v>6410</v>
      </c>
      <c r="N42" s="776" t="s">
        <v>170</v>
      </c>
      <c r="O42" s="779"/>
      <c r="P42" s="780"/>
      <c r="Q42" s="787"/>
      <c r="R42" s="788"/>
      <c r="S42" s="788"/>
    </row>
    <row r="43" spans="1:19" x14ac:dyDescent="0.2">
      <c r="A43" s="765" t="str">
        <f t="shared" si="1"/>
        <v>552SPro25</v>
      </c>
      <c r="B43" s="773" t="str">
        <f t="shared" si="2"/>
        <v>552SPro</v>
      </c>
      <c r="C43" s="774" t="str">
        <f>_xlfn.XLOOKUP(E43,HIGRO!$C$1:$C$500,HIGRO!$B$1:$B$500)</f>
        <v>1290H205527525</v>
      </c>
      <c r="D43" s="775">
        <f>_xlfn.XLOOKUP(E43,HIGRO!$C$1:$C$500,HIGRO!$D$1:$D$500)</f>
        <v>25</v>
      </c>
      <c r="E43" s="776" t="s">
        <v>179</v>
      </c>
      <c r="F43" s="776"/>
      <c r="G43" s="777">
        <f>_xlfn.XLOOKUP(E43,HIGRO!$C$1:$C$500,HIGRO!$M$1:$M$500)</f>
        <v>6410</v>
      </c>
      <c r="H43" s="776"/>
      <c r="I43" s="1034"/>
      <c r="J43" s="1034"/>
      <c r="K43" s="1034"/>
      <c r="L43" s="778" t="s">
        <v>370</v>
      </c>
      <c r="M43" s="779">
        <v>6490</v>
      </c>
      <c r="N43" s="776" t="s">
        <v>391</v>
      </c>
      <c r="O43" s="779">
        <v>320</v>
      </c>
      <c r="P43" s="780">
        <v>3624</v>
      </c>
      <c r="Q43" s="787"/>
      <c r="R43" s="788"/>
      <c r="S43" s="788"/>
    </row>
    <row r="44" spans="1:19" x14ac:dyDescent="0.2">
      <c r="A44" s="765" t="str">
        <f t="shared" si="1"/>
        <v>552SX25</v>
      </c>
      <c r="B44" s="773" t="str">
        <f t="shared" si="2"/>
        <v>552SX</v>
      </c>
      <c r="C44" s="774" t="str">
        <f>_xlfn.XLOOKUP(E44,HIGRO!$C$1:$C$500,HIGRO!$B$1:$B$500)</f>
        <v>1290D205527325</v>
      </c>
      <c r="D44" s="775">
        <f>_xlfn.XLOOKUP(E44,HIGRO!$C$1:$C$500,HIGRO!$D$1:$D$500)</f>
        <v>25</v>
      </c>
      <c r="E44" s="776" t="s">
        <v>94</v>
      </c>
      <c r="F44" s="776"/>
      <c r="G44" s="777">
        <f>_xlfn.XLOOKUP(E44,HIGRO!$C$1:$C$500,HIGRO!$M$1:$M$500)</f>
        <v>6490</v>
      </c>
      <c r="H44" s="776"/>
      <c r="I44" s="1034"/>
      <c r="J44" s="1034"/>
      <c r="K44" s="1034"/>
      <c r="L44" s="778" t="s">
        <v>387</v>
      </c>
      <c r="M44" s="779">
        <v>3158</v>
      </c>
      <c r="N44" s="776" t="s">
        <v>551</v>
      </c>
      <c r="O44" s="779">
        <v>3700</v>
      </c>
      <c r="P44" s="780">
        <v>3181</v>
      </c>
      <c r="Q44" s="787"/>
      <c r="R44" s="788"/>
      <c r="S44" s="788"/>
    </row>
    <row r="45" spans="1:19" x14ac:dyDescent="0.2">
      <c r="A45" s="765" t="str">
        <f t="shared" si="1"/>
        <v>55325</v>
      </c>
      <c r="B45" s="773" t="str">
        <f t="shared" si="2"/>
        <v>553</v>
      </c>
      <c r="C45" s="774" t="str">
        <f>_xlfn.XLOOKUP(E45,HIGRO!$C$1:$C$500,HIGRO!$B$1:$B$500)</f>
        <v>1290D205530025</v>
      </c>
      <c r="D45" s="775">
        <f>_xlfn.XLOOKUP(E45,HIGRO!$C$1:$C$500,HIGRO!$D$1:$D$500)</f>
        <v>25</v>
      </c>
      <c r="E45" s="776" t="s">
        <v>96</v>
      </c>
      <c r="F45" s="776"/>
      <c r="G45" s="777">
        <f>_xlfn.XLOOKUP(E45,HIGRO!$C$1:$C$500,HIGRO!$M$1:$M$500)</f>
        <v>3158</v>
      </c>
      <c r="H45" s="776"/>
      <c r="I45" s="1034"/>
      <c r="J45" s="1034"/>
      <c r="K45" s="1034"/>
      <c r="L45" s="778" t="s">
        <v>384</v>
      </c>
      <c r="M45" s="779">
        <v>6941</v>
      </c>
      <c r="N45" s="776" t="s">
        <v>393</v>
      </c>
      <c r="O45" s="779">
        <v>4800</v>
      </c>
      <c r="P45" s="780">
        <v>5358</v>
      </c>
      <c r="Q45" s="787"/>
      <c r="R45" s="788"/>
      <c r="S45" s="788"/>
    </row>
    <row r="46" spans="1:19" x14ac:dyDescent="0.2">
      <c r="A46" s="765" t="str">
        <f t="shared" si="1"/>
        <v>553S25</v>
      </c>
      <c r="B46" s="773" t="str">
        <f t="shared" si="2"/>
        <v>553S</v>
      </c>
      <c r="C46" s="774" t="str">
        <f>_xlfn.XLOOKUP(E46,HIGRO!$C$1:$C$500,HIGRO!$B$1:$B$500)</f>
        <v>1290D205531925</v>
      </c>
      <c r="D46" s="775">
        <f>_xlfn.XLOOKUP(E46,HIGRO!$C$1:$C$500,HIGRO!$D$1:$D$500)</f>
        <v>25</v>
      </c>
      <c r="E46" s="776" t="s">
        <v>98</v>
      </c>
      <c r="F46" s="776"/>
      <c r="G46" s="777">
        <f>_xlfn.XLOOKUP(E46,HIGRO!$C$1:$C$500,HIGRO!$M$1:$M$500)</f>
        <v>6941</v>
      </c>
      <c r="H46" s="776"/>
      <c r="I46" s="1034"/>
      <c r="J46" s="1034"/>
      <c r="K46" s="1034"/>
      <c r="L46" s="778" t="s">
        <v>491</v>
      </c>
      <c r="M46" s="779">
        <v>1238</v>
      </c>
      <c r="N46" s="776" t="s">
        <v>394</v>
      </c>
      <c r="O46" s="779">
        <v>480</v>
      </c>
      <c r="P46" s="780">
        <v>991</v>
      </c>
      <c r="Q46" s="787"/>
      <c r="R46" s="788"/>
      <c r="S46" s="788"/>
    </row>
    <row r="47" spans="1:19" x14ac:dyDescent="0.2">
      <c r="A47" s="765" t="str">
        <f t="shared" si="1"/>
        <v>553SPro25</v>
      </c>
      <c r="B47" s="773" t="str">
        <f t="shared" si="2"/>
        <v>553SPro</v>
      </c>
      <c r="C47" s="774" t="str">
        <f>_xlfn.XLOOKUP(E47,HIGRO!$C$1:$C$500,HIGRO!$B$1:$B$500)</f>
        <v>1290H205537525</v>
      </c>
      <c r="D47" s="775">
        <f>_xlfn.XLOOKUP(E47,HIGRO!$C$1:$C$500,HIGRO!$D$1:$D$500)</f>
        <v>25</v>
      </c>
      <c r="E47" s="776" t="s">
        <v>180</v>
      </c>
      <c r="F47" s="776"/>
      <c r="G47" s="777">
        <f>_xlfn.XLOOKUP(E47,HIGRO!$C$1:$C$500,HIGRO!$M$1:$M$500)</f>
        <v>1238</v>
      </c>
      <c r="H47" s="776"/>
      <c r="I47" s="1034"/>
      <c r="J47" s="1034"/>
      <c r="K47" s="1034"/>
      <c r="L47" s="778" t="s">
        <v>390</v>
      </c>
      <c r="M47" s="779">
        <v>2454</v>
      </c>
      <c r="N47" s="776" t="s">
        <v>395</v>
      </c>
      <c r="O47" s="779">
        <v>200</v>
      </c>
      <c r="P47" s="780">
        <v>2333</v>
      </c>
      <c r="Q47" s="787"/>
      <c r="R47" s="788"/>
      <c r="S47" s="788"/>
    </row>
    <row r="48" spans="1:19" x14ac:dyDescent="0.2">
      <c r="A48" s="765" t="str">
        <f t="shared" si="1"/>
        <v>56225</v>
      </c>
      <c r="B48" s="773" t="str">
        <f t="shared" si="2"/>
        <v>562</v>
      </c>
      <c r="C48" s="774" t="str">
        <f>_xlfn.XLOOKUP(E48,HIGRO!$C$1:$C$500,HIGRO!$B$1:$B$500)</f>
        <v>1290D205620025</v>
      </c>
      <c r="D48" s="775">
        <f>_xlfn.XLOOKUP(E48,HIGRO!$C$1:$C$500,HIGRO!$D$1:$D$500)</f>
        <v>25</v>
      </c>
      <c r="E48" s="776" t="s">
        <v>100</v>
      </c>
      <c r="F48" s="776"/>
      <c r="G48" s="777">
        <f>_xlfn.XLOOKUP(E48,HIGRO!$C$1:$C$500,HIGRO!$M$1:$M$500)</f>
        <v>2454</v>
      </c>
      <c r="H48" s="776"/>
      <c r="I48" s="1034"/>
      <c r="J48" s="1034"/>
      <c r="K48" s="1034"/>
      <c r="L48" s="778" t="s">
        <v>391</v>
      </c>
      <c r="M48" s="779">
        <v>3944</v>
      </c>
      <c r="N48" s="776" t="s">
        <v>552</v>
      </c>
      <c r="O48" s="779">
        <v>1280</v>
      </c>
      <c r="P48" s="780">
        <v>1545</v>
      </c>
      <c r="Q48" s="787"/>
      <c r="R48" s="788"/>
      <c r="S48" s="788"/>
    </row>
    <row r="49" spans="1:19" x14ac:dyDescent="0.2">
      <c r="A49" s="765" t="str">
        <f t="shared" si="1"/>
        <v>562P25</v>
      </c>
      <c r="B49" s="773" t="str">
        <f t="shared" si="2"/>
        <v>562P</v>
      </c>
      <c r="C49" s="774" t="str">
        <f>_xlfn.XLOOKUP(E49,HIGRO!$C$1:$C$500,HIGRO!$B$1:$B$500)</f>
        <v>1290D205621625</v>
      </c>
      <c r="D49" s="775">
        <f>_xlfn.XLOOKUP(E49,HIGRO!$C$1:$C$500,HIGRO!$D$1:$D$500)</f>
        <v>25</v>
      </c>
      <c r="E49" s="776" t="s">
        <v>102</v>
      </c>
      <c r="F49" s="776"/>
      <c r="G49" s="777">
        <f>_xlfn.XLOOKUP(E49,HIGRO!$C$1:$C$500,HIGRO!$M$1:$M$500)</f>
        <v>3944</v>
      </c>
      <c r="H49" s="776"/>
      <c r="I49" s="1034"/>
      <c r="J49" s="1034"/>
      <c r="K49" s="1034"/>
      <c r="L49" s="778" t="s">
        <v>393</v>
      </c>
      <c r="M49" s="779">
        <v>10158</v>
      </c>
      <c r="N49" s="776" t="s">
        <v>397</v>
      </c>
      <c r="O49" s="779">
        <v>1120</v>
      </c>
      <c r="P49" s="780">
        <v>1009</v>
      </c>
      <c r="Q49" s="787"/>
      <c r="R49" s="788"/>
      <c r="S49" s="788"/>
    </row>
    <row r="50" spans="1:19" x14ac:dyDescent="0.2">
      <c r="A50" s="765" t="str">
        <f t="shared" si="1"/>
        <v>56625</v>
      </c>
      <c r="B50" s="773" t="str">
        <f t="shared" si="2"/>
        <v>566</v>
      </c>
      <c r="C50" s="774" t="str">
        <f>_xlfn.XLOOKUP(E50,HIGRO!$C$1:$C$500,HIGRO!$B$1:$B$500)</f>
        <v>1290D205660025</v>
      </c>
      <c r="D50" s="775">
        <f>_xlfn.XLOOKUP(E50,HIGRO!$C$1:$C$500,HIGRO!$D$1:$D$500)</f>
        <v>25</v>
      </c>
      <c r="E50" s="776" t="s">
        <v>104</v>
      </c>
      <c r="F50" s="776"/>
      <c r="G50" s="777">
        <f>_xlfn.XLOOKUP(E50,HIGRO!$C$1:$C$500,HIGRO!$M$1:$M$500)</f>
        <v>10158</v>
      </c>
      <c r="H50" s="776"/>
      <c r="I50" s="1034"/>
      <c r="J50" s="1034"/>
      <c r="K50" s="1034"/>
      <c r="L50" s="778" t="s">
        <v>397</v>
      </c>
      <c r="M50" s="779">
        <v>2129</v>
      </c>
      <c r="N50" s="776" t="s">
        <v>398</v>
      </c>
      <c r="O50" s="779">
        <v>160</v>
      </c>
      <c r="P50" s="780">
        <v>560</v>
      </c>
      <c r="Q50" s="787"/>
      <c r="R50" s="788"/>
      <c r="S50" s="788"/>
    </row>
    <row r="51" spans="1:19" x14ac:dyDescent="0.2">
      <c r="A51" s="765" t="str">
        <f t="shared" si="1"/>
        <v>56725</v>
      </c>
      <c r="B51" s="773" t="str">
        <f t="shared" si="2"/>
        <v>567</v>
      </c>
      <c r="C51" s="774" t="str">
        <f>_xlfn.XLOOKUP(E51,HIGRO!$C$1:$C$500,HIGRO!$B$1:$B$500)</f>
        <v>1290D205670025</v>
      </c>
      <c r="D51" s="775">
        <f>_xlfn.XLOOKUP(E51,HIGRO!$C$1:$C$500,HIGRO!$D$1:$D$500)</f>
        <v>25</v>
      </c>
      <c r="E51" s="776" t="s">
        <v>106</v>
      </c>
      <c r="F51" s="776"/>
      <c r="G51" s="777">
        <f>_xlfn.XLOOKUP(E51,HIGRO!$C$1:$C$500,HIGRO!$M$1:$M$500)</f>
        <v>2129</v>
      </c>
      <c r="H51" s="776"/>
      <c r="I51" s="1034"/>
      <c r="J51" s="1034"/>
      <c r="K51" s="1034"/>
      <c r="L51" s="778" t="s">
        <v>399</v>
      </c>
      <c r="M51" s="779">
        <v>5993</v>
      </c>
      <c r="N51" s="776" t="s">
        <v>399</v>
      </c>
      <c r="O51" s="779">
        <v>4400</v>
      </c>
      <c r="P51" s="780">
        <v>1593</v>
      </c>
      <c r="Q51" s="787"/>
      <c r="R51" s="788"/>
      <c r="S51" s="788"/>
    </row>
    <row r="52" spans="1:19" x14ac:dyDescent="0.2">
      <c r="A52" s="765" t="str">
        <f t="shared" si="1"/>
        <v>567S25</v>
      </c>
      <c r="B52" s="773" t="str">
        <f t="shared" si="2"/>
        <v>567S</v>
      </c>
      <c r="C52" s="774" t="str">
        <f>_xlfn.XLOOKUP(E52,HIGRO!$C$1:$C$500,HIGRO!$B$1:$B$500)</f>
        <v>1290D205671925</v>
      </c>
      <c r="D52" s="775">
        <f>_xlfn.XLOOKUP(E52,HIGRO!$C$1:$C$500,HIGRO!$D$1:$D$500)</f>
        <v>25</v>
      </c>
      <c r="E52" s="776" t="s">
        <v>108</v>
      </c>
      <c r="F52" s="776"/>
      <c r="G52" s="777">
        <f>_xlfn.XLOOKUP(E52,HIGRO!$C$1:$C$500,HIGRO!$M$1:$M$500)</f>
        <v>5993</v>
      </c>
      <c r="H52" s="776"/>
      <c r="I52" s="1034"/>
      <c r="J52" s="1034"/>
      <c r="K52" s="1034"/>
      <c r="L52" s="778" t="s">
        <v>457</v>
      </c>
      <c r="M52" s="779">
        <v>1680</v>
      </c>
      <c r="N52" s="776" t="s">
        <v>400</v>
      </c>
      <c r="O52" s="779">
        <v>200</v>
      </c>
      <c r="P52" s="780">
        <v>798</v>
      </c>
      <c r="Q52" s="787"/>
      <c r="R52" s="788"/>
      <c r="S52" s="788"/>
    </row>
    <row r="53" spans="1:19" x14ac:dyDescent="0.2">
      <c r="A53" s="765" t="str">
        <f t="shared" si="1"/>
        <v>57125</v>
      </c>
      <c r="B53" s="773" t="str">
        <f t="shared" si="2"/>
        <v>571</v>
      </c>
      <c r="C53" s="774" t="str">
        <f>_xlfn.XLOOKUP(E53,HIGRO!$C$1:$C$500,HIGRO!$B$1:$B$500)</f>
        <v>1290K305710025</v>
      </c>
      <c r="D53" s="775">
        <f>_xlfn.XLOOKUP(E53,HIGRO!$C$1:$C$500,HIGRO!$D$1:$D$500)</f>
        <v>25</v>
      </c>
      <c r="E53" s="776" t="s">
        <v>507</v>
      </c>
      <c r="F53" s="776"/>
      <c r="G53" s="777">
        <f>_xlfn.XLOOKUP(E53,HIGRO!$C$1:$C$500,HIGRO!$M$1:$M$500)</f>
        <v>1680</v>
      </c>
      <c r="H53" s="776"/>
      <c r="I53" s="1034"/>
      <c r="J53" s="1034"/>
      <c r="K53" s="1034"/>
      <c r="L53" s="778" t="s">
        <v>428</v>
      </c>
      <c r="M53" s="779">
        <v>1963</v>
      </c>
      <c r="N53" s="776" t="s">
        <v>401</v>
      </c>
      <c r="O53" s="779">
        <v>80</v>
      </c>
      <c r="P53" s="780">
        <v>2655</v>
      </c>
      <c r="Q53" s="787"/>
      <c r="R53" s="788"/>
      <c r="S53" s="788"/>
    </row>
    <row r="54" spans="1:19" x14ac:dyDescent="0.2">
      <c r="A54" s="765" t="str">
        <f t="shared" si="1"/>
        <v>58425</v>
      </c>
      <c r="B54" s="773" t="str">
        <f t="shared" si="2"/>
        <v>584</v>
      </c>
      <c r="C54" s="774" t="str">
        <f>_xlfn.XLOOKUP(E54,HIGRO!$C$1:$C$500,HIGRO!$B$1:$B$500)</f>
        <v>1290D205840025</v>
      </c>
      <c r="D54" s="775">
        <f>_xlfn.XLOOKUP(E54,HIGRO!$C$1:$C$500,HIGRO!$D$1:$D$500)</f>
        <v>25</v>
      </c>
      <c r="E54" s="776" t="s">
        <v>53</v>
      </c>
      <c r="F54" s="776"/>
      <c r="G54" s="777">
        <f>_xlfn.XLOOKUP(E54,HIGRO!$C$1:$C$500,HIGRO!$M$1:$M$500)</f>
        <v>1963</v>
      </c>
      <c r="H54" s="776"/>
      <c r="I54" s="1034"/>
      <c r="J54" s="1034"/>
      <c r="K54" s="1034"/>
      <c r="L54" s="778" t="s">
        <v>366</v>
      </c>
      <c r="M54" s="779">
        <v>622</v>
      </c>
      <c r="N54" s="776" t="s">
        <v>553</v>
      </c>
      <c r="O54" s="779">
        <v>1400</v>
      </c>
      <c r="P54" s="780">
        <v>7470</v>
      </c>
      <c r="Q54" s="787"/>
      <c r="R54" s="788"/>
      <c r="S54" s="788"/>
    </row>
    <row r="55" spans="1:19" x14ac:dyDescent="0.2">
      <c r="B55" s="773" t="str">
        <f t="shared" si="2"/>
        <v>594</v>
      </c>
      <c r="C55" s="774" t="str">
        <f>_xlfn.XLOOKUP(E55,HIGRO!$C$1:$C$500,HIGRO!$B$1:$B$500)</f>
        <v>1290D205940325</v>
      </c>
      <c r="D55" s="775">
        <f>_xlfn.XLOOKUP(E55,HIGRO!$C$1:$C$500,HIGRO!$D$1:$D$500)</f>
        <v>25</v>
      </c>
      <c r="E55" s="776" t="s">
        <v>110</v>
      </c>
      <c r="F55" s="776"/>
      <c r="G55" s="777">
        <f>_xlfn.XLOOKUP(E55,HIGRO!$C$1:$C$500,HIGRO!$M$1:$M$500)</f>
        <v>2430</v>
      </c>
      <c r="H55" s="776"/>
      <c r="I55" s="1034"/>
      <c r="J55" s="1034"/>
      <c r="K55" s="1034"/>
      <c r="L55" s="778" t="s">
        <v>379</v>
      </c>
      <c r="M55" s="779">
        <v>2588</v>
      </c>
      <c r="N55" s="776" t="s">
        <v>554</v>
      </c>
      <c r="O55" s="779">
        <v>480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595</v>
      </c>
      <c r="C56" s="774" t="str">
        <f>_xlfn.XLOOKUP(E56,HIGRO!$C$1:$C$500,HIGRO!$B$1:$B$500)</f>
        <v>1290D205950025</v>
      </c>
      <c r="D56" s="775">
        <f>_xlfn.XLOOKUP(E56,HIGRO!$C$1:$C$500,HIGRO!$D$1:$D$500)</f>
        <v>25</v>
      </c>
      <c r="E56" s="776" t="s">
        <v>112</v>
      </c>
      <c r="F56" s="776"/>
      <c r="G56" s="777">
        <f>_xlfn.XLOOKUP(E56,HIGRO!$C$1:$C$500,HIGRO!$M$1:$M$500)</f>
        <v>1337</v>
      </c>
      <c r="H56" s="776"/>
      <c r="I56" s="1034"/>
      <c r="J56" s="1034"/>
      <c r="K56" s="1034"/>
      <c r="L56" s="778" t="s">
        <v>374</v>
      </c>
      <c r="M56" s="779">
        <v>2443</v>
      </c>
      <c r="N56" s="776" t="s">
        <v>170</v>
      </c>
      <c r="O56" s="779"/>
      <c r="P56" s="780"/>
      <c r="Q56" s="787"/>
      <c r="R56" s="788"/>
      <c r="S56" s="788"/>
    </row>
    <row r="57" spans="1:19" ht="20.25" x14ac:dyDescent="0.2">
      <c r="B57" s="773" t="str">
        <f t="shared" si="2"/>
        <v/>
      </c>
      <c r="C57" s="774"/>
      <c r="E57" s="790" t="s">
        <v>492</v>
      </c>
      <c r="F57" s="776"/>
      <c r="G57" s="777"/>
      <c r="H57" s="776"/>
      <c r="I57" s="1034"/>
      <c r="J57" s="1034"/>
      <c r="K57" s="1034"/>
      <c r="L57" s="778" t="s">
        <v>371</v>
      </c>
      <c r="M57" s="779">
        <v>1264</v>
      </c>
      <c r="N57" s="776" t="s">
        <v>170</v>
      </c>
      <c r="O57" s="779"/>
      <c r="P57" s="780"/>
      <c r="Q57" s="787"/>
      <c r="R57" s="788"/>
      <c r="S57" s="788"/>
    </row>
    <row r="58" spans="1:19" ht="20.25" x14ac:dyDescent="0.2">
      <c r="B58" s="773" t="str">
        <f t="shared" si="2"/>
        <v>884</v>
      </c>
      <c r="C58" s="774" t="str">
        <f>_xlfn.XLOOKUP(E58,'CP&amp;STAR'!$C$1:$C$500, 'CP&amp;STAR'!$B$1:$B$500)</f>
        <v>1290D908840025</v>
      </c>
      <c r="D58" s="775">
        <f>_xlfn.XLOOKUP(E58,'CP&amp;STAR'!$C$1:$C$500, 'CP&amp;STAR'!$D$1:$D$500)</f>
        <v>25</v>
      </c>
      <c r="E58" s="790" t="s">
        <v>290</v>
      </c>
      <c r="F58" s="776"/>
      <c r="G58" s="777">
        <f>_xlfn.XLOOKUP(E58,'CP&amp;STAR'!$C$1:$C$500, 'CP&amp;STAR'!$M$1:$M$500)</f>
        <v>1412</v>
      </c>
      <c r="H58" s="776"/>
      <c r="I58" s="1034"/>
      <c r="J58" s="1034"/>
      <c r="K58" s="1034"/>
      <c r="L58" s="778" t="s">
        <v>388</v>
      </c>
      <c r="M58" s="779">
        <v>1736</v>
      </c>
      <c r="N58" s="776" t="s">
        <v>170</v>
      </c>
      <c r="O58" s="779"/>
      <c r="P58" s="780"/>
      <c r="Q58" s="787"/>
      <c r="R58" s="788"/>
      <c r="S58" s="788"/>
    </row>
    <row r="59" spans="1:19" ht="20.25" x14ac:dyDescent="0.2">
      <c r="B59" s="773" t="str">
        <f t="shared" si="2"/>
        <v>885S</v>
      </c>
      <c r="C59" s="774" t="str">
        <f>_xlfn.XLOOKUP(E59,'CP&amp;STAR'!$C$1:$C$500, 'CP&amp;STAR'!$B$1:$B$500)</f>
        <v>1290D908851925</v>
      </c>
      <c r="D59" s="775">
        <f>_xlfn.XLOOKUP(E59,'CP&amp;STAR'!$C$1:$C$500, 'CP&amp;STAR'!$D$1:$D$500)</f>
        <v>25</v>
      </c>
      <c r="E59" s="790" t="s">
        <v>291</v>
      </c>
      <c r="F59" s="776"/>
      <c r="G59" s="777">
        <f>_xlfn.XLOOKUP(E59,'CP&amp;STAR'!$C$1:$C$500, 'CP&amp;STAR'!$M$1:$M$500)</f>
        <v>1171</v>
      </c>
      <c r="H59" s="776"/>
      <c r="I59" s="1034"/>
      <c r="J59" s="1034"/>
      <c r="K59" s="1034"/>
      <c r="L59" s="778" t="s">
        <v>385</v>
      </c>
      <c r="M59" s="779">
        <v>1404</v>
      </c>
      <c r="N59" s="776" t="s">
        <v>403</v>
      </c>
      <c r="O59" s="779">
        <v>3360</v>
      </c>
      <c r="P59" s="780">
        <v>4093</v>
      </c>
      <c r="Q59" s="787"/>
      <c r="R59" s="788"/>
      <c r="S59" s="788"/>
    </row>
    <row r="60" spans="1:19" x14ac:dyDescent="0.2">
      <c r="B60" s="773" t="str">
        <f t="shared" si="2"/>
        <v>949</v>
      </c>
      <c r="C60" s="774" t="str">
        <f>_xlfn.XLOOKUP(E60,'CP&amp;STAR'!$C$1:$C$500, 'CP&amp;STAR'!$B$1:$B$500)</f>
        <v>1290D209490025</v>
      </c>
      <c r="D60" s="775">
        <f>_xlfn.XLOOKUP(E60,'CP&amp;STAR'!$C$1:$C$500, 'CP&amp;STAR'!$D$1:$D$500)</f>
        <v>25</v>
      </c>
      <c r="E60" s="776" t="s">
        <v>114</v>
      </c>
      <c r="F60" s="776"/>
      <c r="G60" s="777">
        <f>_xlfn.XLOOKUP(E60,'CP&amp;STAR'!$C$1:$C$500, 'CP&amp;STAR'!$M$1:$M$500)</f>
        <v>1356</v>
      </c>
      <c r="H60" s="776"/>
      <c r="I60" s="1034"/>
      <c r="J60" s="1034"/>
      <c r="K60" s="1034"/>
      <c r="L60" s="778" t="s">
        <v>394</v>
      </c>
      <c r="M60" s="779">
        <v>1471</v>
      </c>
      <c r="N60" s="776" t="s">
        <v>453</v>
      </c>
      <c r="O60" s="779">
        <v>320</v>
      </c>
      <c r="P60" s="780">
        <v>518</v>
      </c>
      <c r="Q60" s="787"/>
      <c r="R60" s="788"/>
      <c r="S60" s="788"/>
    </row>
    <row r="61" spans="1:19" x14ac:dyDescent="0.2">
      <c r="B61" s="773" t="str">
        <f t="shared" si="2"/>
        <v>944</v>
      </c>
      <c r="C61" s="774" t="str">
        <f>_xlfn.XLOOKUP(E61,'CP&amp;STAR'!$C$1:$C$500, 'CP&amp;STAR'!$B$1:$B$500)</f>
        <v>1290H409440025</v>
      </c>
      <c r="D61" s="775">
        <f>_xlfn.XLOOKUP(E61,'CP&amp;STAR'!$C$1:$C$500, 'CP&amp;STAR'!$D$1:$D$500)</f>
        <v>25</v>
      </c>
      <c r="E61" s="776" t="s">
        <v>352</v>
      </c>
      <c r="F61" s="776"/>
      <c r="G61" s="777">
        <f>_xlfn.XLOOKUP(E61,'CP&amp;STAR'!$C$1:$C$500, 'CP&amp;STAR'!$M$1:$M$500)</f>
        <v>961</v>
      </c>
      <c r="H61" s="776"/>
      <c r="I61" s="1034"/>
      <c r="J61" s="1034"/>
      <c r="K61" s="1034"/>
      <c r="L61" s="778" t="s">
        <v>398</v>
      </c>
      <c r="M61" s="779">
        <v>720</v>
      </c>
      <c r="N61" s="776" t="s">
        <v>503</v>
      </c>
      <c r="O61" s="779">
        <v>1440</v>
      </c>
      <c r="P61" s="780" t="e">
        <v>#N/A</v>
      </c>
      <c r="Q61" s="787"/>
      <c r="R61" s="788"/>
      <c r="S61" s="788"/>
    </row>
    <row r="62" spans="1:19" x14ac:dyDescent="0.2">
      <c r="A62" s="765" t="str">
        <f t="shared" si="1"/>
        <v>95125</v>
      </c>
      <c r="B62" s="773" t="str">
        <f t="shared" si="2"/>
        <v>951</v>
      </c>
      <c r="C62" s="774" t="str">
        <f>_xlfn.XLOOKUP(E62,'CP&amp;STAR'!$C$1:$C$500, 'CP&amp;STAR'!$B$1:$B$500)</f>
        <v>1290D209510025</v>
      </c>
      <c r="D62" s="775">
        <f>_xlfn.XLOOKUP(E62,'CP&amp;STAR'!$C$1:$C$500, 'CP&amp;STAR'!$D$1:$D$500)</f>
        <v>25</v>
      </c>
      <c r="E62" s="776" t="s">
        <v>116</v>
      </c>
      <c r="F62" s="776"/>
      <c r="G62" s="777">
        <f>_xlfn.XLOOKUP(E62,'CP&amp;STAR'!$C$1:$C$500, 'CP&amp;STAR'!$M$1:$M$500)</f>
        <v>622</v>
      </c>
      <c r="H62" s="776"/>
      <c r="I62" s="1034"/>
      <c r="J62" s="1034"/>
      <c r="K62" s="1034"/>
      <c r="L62" s="778" t="s">
        <v>400</v>
      </c>
      <c r="M62" s="779">
        <v>998</v>
      </c>
      <c r="N62" s="776" t="s">
        <v>404</v>
      </c>
      <c r="O62" s="779">
        <v>320</v>
      </c>
      <c r="P62" s="780">
        <v>817</v>
      </c>
      <c r="Q62" s="787"/>
      <c r="R62" s="788"/>
      <c r="S62" s="788"/>
    </row>
    <row r="63" spans="1:19" ht="20.25" x14ac:dyDescent="0.2">
      <c r="A63" s="765" t="str">
        <f t="shared" si="1"/>
        <v>95225</v>
      </c>
      <c r="B63" s="773" t="str">
        <f t="shared" si="2"/>
        <v>952</v>
      </c>
      <c r="C63" s="774" t="str">
        <f>_xlfn.XLOOKUP(E63,'CP&amp;STAR'!$C$1:$C$500, 'CP&amp;STAR'!$B$1:$B$500)</f>
        <v>1290D209520025</v>
      </c>
      <c r="D63" s="775">
        <f>_xlfn.XLOOKUP(E63,'CP&amp;STAR'!$C$1:$C$500, 'CP&amp;STAR'!$D$1:$D$500)</f>
        <v>25</v>
      </c>
      <c r="E63" s="790" t="s">
        <v>118</v>
      </c>
      <c r="F63" s="776"/>
      <c r="G63" s="777">
        <f>_xlfn.XLOOKUP(E63,'CP&amp;STAR'!$C$1:$C$500, 'CP&amp;STAR'!$M$1:$M$500)</f>
        <v>2588</v>
      </c>
      <c r="H63" s="776"/>
      <c r="I63" s="1034"/>
      <c r="J63" s="1034"/>
      <c r="K63" s="1034"/>
      <c r="L63" s="778" t="s">
        <v>429</v>
      </c>
      <c r="M63" s="779">
        <v>530</v>
      </c>
      <c r="N63" s="776" t="s">
        <v>555</v>
      </c>
      <c r="O63" s="779">
        <v>2400</v>
      </c>
      <c r="P63" s="780" t="e">
        <v>#N/A</v>
      </c>
      <c r="Q63" s="787"/>
      <c r="R63" s="788"/>
      <c r="S63" s="788"/>
    </row>
    <row r="64" spans="1:19" ht="20.25" x14ac:dyDescent="0.2">
      <c r="A64" s="765" t="str">
        <f t="shared" si="1"/>
        <v>952S25</v>
      </c>
      <c r="B64" s="773" t="str">
        <f t="shared" si="2"/>
        <v>952S</v>
      </c>
      <c r="C64" s="774" t="str">
        <f>_xlfn.XLOOKUP(E64,'CP&amp;STAR'!$C$1:$C$500, 'CP&amp;STAR'!$B$1:$B$500)</f>
        <v>1290D209521925</v>
      </c>
      <c r="D64" s="775">
        <f>_xlfn.XLOOKUP(E64,'CP&amp;STAR'!$C$1:$C$500, 'CP&amp;STAR'!$D$1:$D$500)</f>
        <v>25</v>
      </c>
      <c r="E64" s="790" t="s">
        <v>120</v>
      </c>
      <c r="F64" s="776"/>
      <c r="G64" s="777">
        <f>_xlfn.XLOOKUP(E64,'CP&amp;STAR'!$C$1:$C$500, 'CP&amp;STAR'!$M$1:$M$500)</f>
        <v>2443</v>
      </c>
      <c r="H64" s="776"/>
      <c r="I64" s="1034"/>
      <c r="J64" s="1034"/>
      <c r="K64" s="1034"/>
      <c r="L64" s="778" t="s">
        <v>434</v>
      </c>
      <c r="M64" s="779">
        <v>900</v>
      </c>
      <c r="N64" s="776" t="s">
        <v>455</v>
      </c>
      <c r="O64" s="779">
        <v>1280</v>
      </c>
      <c r="P64" s="780">
        <v>2386</v>
      </c>
      <c r="Q64" s="787"/>
      <c r="R64" s="788"/>
      <c r="S64" s="788"/>
    </row>
    <row r="65" spans="1:19" x14ac:dyDescent="0.2">
      <c r="A65" s="765" t="str">
        <f t="shared" si="1"/>
        <v>952SX25</v>
      </c>
      <c r="B65" s="773" t="str">
        <f t="shared" si="2"/>
        <v>952SX</v>
      </c>
      <c r="C65" s="774" t="str">
        <f>_xlfn.XLOOKUP(E65,'CP&amp;STAR'!$C$1:$C$500, 'CP&amp;STAR'!$B$1:$B$500)</f>
        <v>1290D209527325</v>
      </c>
      <c r="D65" s="775">
        <f>_xlfn.XLOOKUP(E65,'CP&amp;STAR'!$C$1:$C$500, 'CP&amp;STAR'!$D$1:$D$500)</f>
        <v>25</v>
      </c>
      <c r="E65" s="776" t="s">
        <v>122</v>
      </c>
      <c r="F65" s="776"/>
      <c r="G65" s="777">
        <f>_xlfn.XLOOKUP(E65,'CP&amp;STAR'!$C$1:$C$500, 'CP&amp;STAR'!$M$1:$M$500)</f>
        <v>1264</v>
      </c>
      <c r="H65" s="776"/>
      <c r="I65" s="1034"/>
      <c r="J65" s="1034"/>
      <c r="K65" s="1034"/>
      <c r="L65" s="778" t="s">
        <v>426</v>
      </c>
      <c r="M65" s="779">
        <v>2677</v>
      </c>
      <c r="N65" s="776" t="s">
        <v>504</v>
      </c>
      <c r="O65" s="779">
        <v>960</v>
      </c>
      <c r="P65" s="780" t="e">
        <v>#N/A</v>
      </c>
      <c r="Q65" s="787"/>
      <c r="R65" s="788"/>
      <c r="S65" s="788"/>
    </row>
    <row r="66" spans="1:19" x14ac:dyDescent="0.2">
      <c r="A66" s="765" t="str">
        <f t="shared" si="1"/>
        <v>95325</v>
      </c>
      <c r="B66" s="773" t="str">
        <f t="shared" ref="B66:B97" si="3">IFERROR(TRIM(_xlfn.TEXTBEFORE(_xlfn.TEXTAFTER(E66, "-"), "-")),"")</f>
        <v>953</v>
      </c>
      <c r="C66" s="774" t="str">
        <f>_xlfn.XLOOKUP(E66,'CP&amp;STAR'!$C$1:$C$500, 'CP&amp;STAR'!$B$1:$B$500)</f>
        <v>1290D209530025</v>
      </c>
      <c r="D66" s="775">
        <f>_xlfn.XLOOKUP(E66,'CP&amp;STAR'!$C$1:$C$500, 'CP&amp;STAR'!$D$1:$D$500)</f>
        <v>25</v>
      </c>
      <c r="E66" s="776" t="s">
        <v>124</v>
      </c>
      <c r="F66" s="776"/>
      <c r="G66" s="777">
        <f>_xlfn.XLOOKUP(E66,'CP&amp;STAR'!$C$1:$C$500, 'CP&amp;STAR'!$M$1:$M$500)</f>
        <v>1736</v>
      </c>
      <c r="H66" s="776"/>
      <c r="I66" s="1034"/>
      <c r="J66" s="1034"/>
      <c r="K66" s="1034"/>
      <c r="L66" s="778" t="s">
        <v>427</v>
      </c>
      <c r="M66" s="779">
        <v>3178</v>
      </c>
      <c r="N66" s="776" t="s">
        <v>467</v>
      </c>
      <c r="O66" s="779">
        <v>640</v>
      </c>
      <c r="P66" s="780">
        <v>2754</v>
      </c>
      <c r="Q66" s="787"/>
      <c r="R66" s="788"/>
      <c r="S66" s="788"/>
    </row>
    <row r="67" spans="1:19" x14ac:dyDescent="0.2">
      <c r="A67" s="765" t="str">
        <f t="shared" si="1"/>
        <v>953S25</v>
      </c>
      <c r="B67" s="773" t="str">
        <f t="shared" si="3"/>
        <v>953S</v>
      </c>
      <c r="C67" s="774" t="str">
        <f>_xlfn.XLOOKUP(E67,'CP&amp;STAR'!$C$1:$C$500, 'CP&amp;STAR'!$B$1:$B$500)</f>
        <v>1290D209531925</v>
      </c>
      <c r="D67" s="775">
        <f>_xlfn.XLOOKUP(E67,'CP&amp;STAR'!$C$1:$C$500, 'CP&amp;STAR'!$D$1:$D$500)</f>
        <v>25</v>
      </c>
      <c r="E67" s="776" t="s">
        <v>126</v>
      </c>
      <c r="F67" s="776"/>
      <c r="G67" s="777">
        <f>_xlfn.XLOOKUP(E67,'CP&amp;STAR'!$C$1:$C$500, 'CP&amp;STAR'!$M$1:$M$500)</f>
        <v>1404</v>
      </c>
      <c r="H67" s="776"/>
      <c r="I67" s="1034"/>
      <c r="J67" s="1034"/>
      <c r="K67" s="1034"/>
      <c r="L67" s="778" t="s">
        <v>458</v>
      </c>
      <c r="M67" s="779">
        <v>2071</v>
      </c>
      <c r="N67" s="776" t="s">
        <v>406</v>
      </c>
      <c r="O67" s="779">
        <v>320</v>
      </c>
      <c r="P67" s="780">
        <v>5504</v>
      </c>
      <c r="Q67" s="787"/>
      <c r="R67" s="788"/>
      <c r="S67" s="788"/>
    </row>
    <row r="68" spans="1:19" x14ac:dyDescent="0.2">
      <c r="A68" s="765" t="str">
        <f t="shared" si="1"/>
        <v>96625</v>
      </c>
      <c r="B68" s="773" t="str">
        <f t="shared" si="3"/>
        <v>966</v>
      </c>
      <c r="C68" s="784" t="str">
        <f>_xlfn.XLOOKUP(E68,'CP&amp;STAR'!$C$1:$C$500, 'CP&amp;STAR'!$B$1:$B$500)</f>
        <v>1290D209660025</v>
      </c>
      <c r="D68" s="775">
        <f>_xlfn.XLOOKUP(E68,'CP&amp;STAR'!$C$1:$C$500, 'CP&amp;STAR'!$D$1:$D$500)</f>
        <v>25</v>
      </c>
      <c r="E68" s="776" t="s">
        <v>128</v>
      </c>
      <c r="F68" s="776"/>
      <c r="G68" s="777">
        <f>_xlfn.XLOOKUP(E68,'CP&amp;STAR'!$C$1:$C$500, 'CP&amp;STAR'!$M$1:$M$500)</f>
        <v>1471</v>
      </c>
      <c r="H68" s="776"/>
      <c r="I68" s="1034"/>
      <c r="J68" s="1034"/>
      <c r="K68" s="1034"/>
      <c r="L68" s="778" t="s">
        <v>380</v>
      </c>
      <c r="M68" s="779">
        <v>110</v>
      </c>
      <c r="N68" s="776" t="s">
        <v>407</v>
      </c>
      <c r="O68" s="779">
        <v>6400</v>
      </c>
      <c r="P68" s="780">
        <v>3845</v>
      </c>
      <c r="Q68" s="787"/>
      <c r="R68" s="788"/>
      <c r="S68" s="788"/>
    </row>
    <row r="69" spans="1:19" x14ac:dyDescent="0.2">
      <c r="A69" s="765" t="str">
        <f t="shared" si="1"/>
        <v>96725</v>
      </c>
      <c r="B69" s="773" t="str">
        <f t="shared" si="3"/>
        <v>967</v>
      </c>
      <c r="C69" s="784" t="str">
        <f>_xlfn.XLOOKUP(E69,'CP&amp;STAR'!$C$1:$C$500, 'CP&amp;STAR'!$B$1:$B$500)</f>
        <v>1290D209670025</v>
      </c>
      <c r="D69" s="775">
        <f>_xlfn.XLOOKUP(E69,'CP&amp;STAR'!$C$1:$C$500, 'CP&amp;STAR'!$D$1:$D$500)</f>
        <v>25</v>
      </c>
      <c r="E69" s="776" t="s">
        <v>130</v>
      </c>
      <c r="F69" s="776"/>
      <c r="G69" s="777">
        <f>_xlfn.XLOOKUP(E69,'CP&amp;STAR'!$C$1:$C$500, 'CP&amp;STAR'!$M$1:$M$500)</f>
        <v>720</v>
      </c>
      <c r="H69" s="776" t="s">
        <v>493</v>
      </c>
      <c r="I69" s="1034"/>
      <c r="J69" s="1034"/>
      <c r="K69" s="1034"/>
      <c r="L69" s="791" t="s">
        <v>459</v>
      </c>
      <c r="M69" s="779">
        <v>967</v>
      </c>
      <c r="N69" s="776" t="s">
        <v>408</v>
      </c>
      <c r="O69" s="779">
        <v>3200</v>
      </c>
      <c r="P69" s="780">
        <v>4835</v>
      </c>
      <c r="Q69" s="787"/>
      <c r="R69" s="788"/>
      <c r="S69" s="788"/>
    </row>
    <row r="70" spans="1:19" x14ac:dyDescent="0.2">
      <c r="A70" s="765" t="str">
        <f t="shared" si="1"/>
        <v>967S25</v>
      </c>
      <c r="B70" s="773" t="str">
        <f t="shared" si="3"/>
        <v>967S</v>
      </c>
      <c r="C70" s="784" t="str">
        <f>_xlfn.XLOOKUP(E70,'CP&amp;STAR'!$C$1:$C$500, 'CP&amp;STAR'!$B$1:$B$500)</f>
        <v>1290D209671925</v>
      </c>
      <c r="D70" s="775">
        <f>_xlfn.XLOOKUP(E70,'CP&amp;STAR'!$C$1:$C$500, 'CP&amp;STAR'!$D$1:$D$500)</f>
        <v>25</v>
      </c>
      <c r="E70" s="776" t="s">
        <v>132</v>
      </c>
      <c r="F70" s="776"/>
      <c r="G70" s="777">
        <f>_xlfn.XLOOKUP(E70,'CP&amp;STAR'!$C$1:$C$500, 'CP&amp;STAR'!$M$1:$M$500)</f>
        <v>998</v>
      </c>
      <c r="H70" s="776" t="s">
        <v>303</v>
      </c>
      <c r="I70" s="1034"/>
      <c r="J70" s="1034"/>
      <c r="K70" s="1034"/>
      <c r="L70" s="791" t="s">
        <v>460</v>
      </c>
      <c r="M70" s="779">
        <v>3315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98425</v>
      </c>
      <c r="B71" s="773" t="str">
        <f t="shared" si="3"/>
        <v>984</v>
      </c>
      <c r="C71" s="784" t="str">
        <f>_xlfn.XLOOKUP(E71,'CP&amp;STAR'!$C$1:$C$500, 'CP&amp;STAR'!$B$1:$B$500)</f>
        <v>1290D209840025</v>
      </c>
      <c r="D71" s="775">
        <f>_xlfn.XLOOKUP(E71,'CP&amp;STAR'!$C$1:$C$500, 'CP&amp;STAR'!$D$1:$D$500)</f>
        <v>25</v>
      </c>
      <c r="E71" s="784" t="s">
        <v>292</v>
      </c>
      <c r="G71" s="792">
        <f>_xlfn.XLOOKUP(E71,'CP&amp;STAR'!$C$1:$C$500, 'CP&amp;STAR'!$M$1:$M$500)</f>
        <v>530</v>
      </c>
      <c r="L71" s="778" t="s">
        <v>389</v>
      </c>
      <c r="M71" s="779">
        <v>2106</v>
      </c>
      <c r="N71" s="776" t="s">
        <v>444</v>
      </c>
      <c r="O71" s="779">
        <v>320</v>
      </c>
      <c r="P71" s="780">
        <v>1994</v>
      </c>
      <c r="Q71" s="787"/>
      <c r="R71" s="788"/>
      <c r="S71" s="788"/>
    </row>
    <row r="72" spans="1:19" x14ac:dyDescent="0.2">
      <c r="A72" s="765" t="str">
        <f t="shared" si="1"/>
        <v>991-1825</v>
      </c>
      <c r="B72" s="773" t="s">
        <v>160</v>
      </c>
      <c r="C72" s="784" t="str">
        <f>_xlfn.XLOOKUP(E72,'CP&amp;STAR'!$C$1:$C$500, 'CP&amp;STAR'!$B$1:$B$500)</f>
        <v>1290D209911825</v>
      </c>
      <c r="D72" s="775">
        <f>_xlfn.XLOOKUP(E72,'CP&amp;STAR'!$C$1:$C$500, 'CP&amp;STAR'!$D$1:$D$500)</f>
        <v>25</v>
      </c>
      <c r="E72" s="784" t="s">
        <v>293</v>
      </c>
      <c r="G72" s="792">
        <f>_xlfn.XLOOKUP(E72,'CP&amp;STAR'!$C$1:$C$500, 'CP&amp;STAR'!$M$1:$M$500)</f>
        <v>900</v>
      </c>
      <c r="L72" s="778" t="s">
        <v>461</v>
      </c>
      <c r="M72" s="779">
        <v>1212</v>
      </c>
      <c r="N72" s="776" t="s">
        <v>409</v>
      </c>
      <c r="O72" s="779">
        <v>640</v>
      </c>
      <c r="P72" s="780">
        <v>1234</v>
      </c>
      <c r="Q72" s="787"/>
      <c r="R72" s="788"/>
      <c r="S72" s="788"/>
    </row>
    <row r="73" spans="1:19" x14ac:dyDescent="0.2">
      <c r="A73" s="765" t="str">
        <f t="shared" si="1"/>
        <v>BS0425</v>
      </c>
      <c r="B73" s="773" t="str">
        <f t="shared" si="3"/>
        <v>BS04</v>
      </c>
      <c r="C73" s="784" t="str">
        <f>_xlfn.XLOOKUP(E73,'CP&amp;STAR'!$C$1:$C$500, 'CP&amp;STAR'!$B$1:$B$500)</f>
        <v>1290D913840025</v>
      </c>
      <c r="D73" s="775">
        <f>_xlfn.XLOOKUP(E73,'CP&amp;STAR'!$C$1:$C$500, 'CP&amp;STAR'!$D$1:$D$500)</f>
        <v>25</v>
      </c>
      <c r="E73" s="793" t="s">
        <v>315</v>
      </c>
      <c r="F73" s="776"/>
      <c r="G73" s="777">
        <f>_xlfn.XLOOKUP(E73,'CP&amp;STAR'!$C$1:$C$500, 'CP&amp;STAR'!$M$1:$M$500)</f>
        <v>2677</v>
      </c>
      <c r="H73" s="776"/>
      <c r="I73" s="1034"/>
      <c r="J73" s="1034"/>
      <c r="K73" s="1034"/>
      <c r="L73" s="778" t="s">
        <v>395</v>
      </c>
      <c r="M73" s="779">
        <v>2533</v>
      </c>
      <c r="N73" s="776" t="s">
        <v>410</v>
      </c>
      <c r="O73" s="779">
        <v>1280</v>
      </c>
      <c r="P73" s="780">
        <v>1853</v>
      </c>
      <c r="Q73" s="787"/>
      <c r="R73" s="788"/>
      <c r="S73" s="788"/>
    </row>
    <row r="74" spans="1:19" x14ac:dyDescent="0.2">
      <c r="A74" s="765" t="str">
        <f t="shared" ref="A74:A142" si="4">+B74&amp;D74</f>
        <v>BS04A25</v>
      </c>
      <c r="B74" s="773" t="str">
        <f t="shared" si="3"/>
        <v>BS04A</v>
      </c>
      <c r="C74" s="784" t="str">
        <f>_xlfn.XLOOKUP(E74,'CP&amp;STAR'!$C$1:$C$500, 'CP&amp;STAR'!$B$1:$B$500)</f>
        <v>1290D913840125</v>
      </c>
      <c r="D74" s="775">
        <f>_xlfn.XLOOKUP(E74,'CP&amp;STAR'!$C$1:$C$500, 'CP&amp;STAR'!$D$1:$D$500)</f>
        <v>25</v>
      </c>
      <c r="E74" s="793" t="s">
        <v>314</v>
      </c>
      <c r="F74" s="776"/>
      <c r="G74" s="777">
        <f>_xlfn.XLOOKUP(E74,'CP&amp;STAR'!$C$1:$C$500, 'CP&amp;STAR'!$M$1:$M$500)</f>
        <v>3178</v>
      </c>
      <c r="H74" s="776"/>
      <c r="I74" s="1034"/>
      <c r="J74" s="1034"/>
      <c r="K74" s="1034"/>
      <c r="L74" s="778" t="s">
        <v>462</v>
      </c>
      <c r="M74" s="779">
        <v>982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si="4"/>
        <v>BS05S25</v>
      </c>
      <c r="B75" s="773" t="str">
        <f t="shared" si="3"/>
        <v>BS05S</v>
      </c>
      <c r="C75" s="784" t="str">
        <f>_xlfn.XLOOKUP(E75,'CP&amp;STAR'!$C$1:$C$500, 'CP&amp;STAR'!$B$1:$B$500)</f>
        <v>1290D913851925</v>
      </c>
      <c r="D75" s="775">
        <f>_xlfn.XLOOKUP(E75,'CP&amp;STAR'!$C$1:$C$500, 'CP&amp;STAR'!$D$1:$D$500)</f>
        <v>25</v>
      </c>
      <c r="E75" s="793" t="s">
        <v>326</v>
      </c>
      <c r="F75" s="776"/>
      <c r="G75" s="777">
        <f>_xlfn.XLOOKUP(E75,'CP&amp;STAR'!$C$1:$C$500, 'CP&amp;STAR'!$M$1:$M$500)</f>
        <v>0</v>
      </c>
      <c r="H75" s="776"/>
      <c r="I75" s="1034"/>
      <c r="J75" s="1034"/>
      <c r="K75" s="1034"/>
      <c r="L75" s="778" t="s">
        <v>401</v>
      </c>
      <c r="M75" s="779">
        <v>2735</v>
      </c>
      <c r="N75" s="776" t="s">
        <v>170</v>
      </c>
      <c r="O75" s="779"/>
      <c r="P75" s="780"/>
      <c r="Q75" s="787"/>
      <c r="R75" s="788"/>
      <c r="S75" s="788"/>
    </row>
    <row r="76" spans="1:19" x14ac:dyDescent="0.2">
      <c r="A76" s="765" t="str">
        <f t="shared" si="4"/>
        <v>BS1425</v>
      </c>
      <c r="B76" s="773" t="str">
        <f t="shared" si="3"/>
        <v>BS14</v>
      </c>
      <c r="C76" s="784" t="str">
        <f>_xlfn.XLOOKUP(E76,'CP&amp;STAR'!$C$1:$C$500, 'CP&amp;STAR'!$B$1:$B$500)</f>
        <v>1290D215840025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34"/>
      <c r="J76" s="1034"/>
      <c r="K76" s="1034"/>
      <c r="L76" s="778" t="s">
        <v>414</v>
      </c>
      <c r="M76" s="779">
        <v>2016</v>
      </c>
      <c r="N76" s="776" t="s">
        <v>170</v>
      </c>
      <c r="O76" s="779"/>
      <c r="P76" s="780"/>
      <c r="Q76" s="787"/>
      <c r="R76" s="788"/>
      <c r="S76" s="788"/>
    </row>
    <row r="77" spans="1:19" x14ac:dyDescent="0.2">
      <c r="A77" s="765" t="str">
        <f t="shared" si="4"/>
        <v>HT1125</v>
      </c>
      <c r="B77" s="773" t="str">
        <f t="shared" si="3"/>
        <v>HT11</v>
      </c>
      <c r="C77" s="784" t="str">
        <f>_xlfn.XLOOKUP(E77,'CP&amp;STAR'!$C$1:$C$500, 'CP&amp;STAR'!$B$1:$B$500)</f>
        <v>1290D215510025</v>
      </c>
      <c r="D77" s="775">
        <f>_xlfn.XLOOKUP(E77,'CP&amp;STAR'!$C$1:$C$500, 'CP&amp;STAR'!$D$1:$D$500)</f>
        <v>25</v>
      </c>
      <c r="E77" s="793" t="s">
        <v>316</v>
      </c>
      <c r="F77" s="776"/>
      <c r="G77" s="777">
        <f>_xlfn.XLOOKUP(E77,'CP&amp;STAR'!$C$1:$C$500, 'CP&amp;STAR'!$M$1:$M$500)</f>
        <v>2071</v>
      </c>
      <c r="H77" s="776"/>
      <c r="I77" s="1034"/>
      <c r="J77" s="1034"/>
      <c r="K77" s="1034"/>
      <c r="L77" s="778" t="s">
        <v>418</v>
      </c>
      <c r="M77" s="779">
        <v>6516</v>
      </c>
      <c r="N77" s="776" t="s">
        <v>556</v>
      </c>
      <c r="O77" s="779">
        <v>640</v>
      </c>
      <c r="P77" s="780">
        <v>-250</v>
      </c>
      <c r="Q77" s="787"/>
      <c r="R77" s="788"/>
      <c r="S77" s="788"/>
    </row>
    <row r="78" spans="1:19" x14ac:dyDescent="0.2">
      <c r="A78" s="765" t="str">
        <f t="shared" si="4"/>
        <v>HT11GP25</v>
      </c>
      <c r="B78" s="773" t="str">
        <f t="shared" si="3"/>
        <v>HT11GP</v>
      </c>
      <c r="C78" s="784" t="str">
        <f>_xlfn.XLOOKUP(E78,'CP&amp;STAR'!$C$1:$C$500, 'CP&amp;STAR'!$B$1:$B$500)</f>
        <v>1290D215514925</v>
      </c>
      <c r="D78" s="775">
        <f>_xlfn.XLOOKUP(E78,'CP&amp;STAR'!$C$1:$C$500, 'CP&amp;STAR'!$D$1:$D$500)</f>
        <v>25</v>
      </c>
      <c r="E78" s="793" t="s">
        <v>317</v>
      </c>
      <c r="F78" s="776"/>
      <c r="G78" s="777">
        <f>_xlfn.XLOOKUP(E78,'CP&amp;STAR'!$C$1:$C$500, 'CP&amp;STAR'!$M$1:$M$500)</f>
        <v>0</v>
      </c>
      <c r="H78" s="776"/>
      <c r="I78" s="1034"/>
      <c r="J78" s="1034"/>
      <c r="K78" s="1034"/>
      <c r="L78" s="778" t="s">
        <v>412</v>
      </c>
      <c r="M78" s="779">
        <v>6330</v>
      </c>
      <c r="N78" s="776" t="s">
        <v>480</v>
      </c>
      <c r="O78" s="779">
        <v>320</v>
      </c>
      <c r="P78" s="780">
        <v>642</v>
      </c>
      <c r="Q78" s="787"/>
      <c r="R78" s="788"/>
      <c r="S78" s="788"/>
    </row>
    <row r="79" spans="1:19" x14ac:dyDescent="0.2">
      <c r="A79" s="765" t="str">
        <f t="shared" si="4"/>
        <v>HT1225</v>
      </c>
      <c r="B79" s="773" t="str">
        <f t="shared" si="3"/>
        <v>HT12</v>
      </c>
      <c r="C79" s="784" t="str">
        <f>_xlfn.XLOOKUP(E79,'CP&amp;STAR'!$C$1:$C$500, 'CP&amp;STAR'!$B$1:$B$500)</f>
        <v>1290D215520025</v>
      </c>
      <c r="D79" s="775">
        <f>_xlfn.XLOOKUP(E79,'CP&amp;STAR'!$C$1:$C$500, 'CP&amp;STAR'!$D$1:$D$500)</f>
        <v>25</v>
      </c>
      <c r="E79" s="793" t="s">
        <v>318</v>
      </c>
      <c r="F79" s="776"/>
      <c r="G79" s="777">
        <f>_xlfn.XLOOKUP(E79,'CP&amp;STAR'!$C$1:$C$500, 'CP&amp;STAR'!$M$1:$M$500)</f>
        <v>110</v>
      </c>
      <c r="H79" s="776"/>
      <c r="I79" s="1034"/>
      <c r="J79" s="1034"/>
      <c r="K79" s="1034"/>
      <c r="L79" s="778" t="s">
        <v>412</v>
      </c>
      <c r="M79" s="779">
        <v>2527</v>
      </c>
      <c r="N79" s="776" t="s">
        <v>411</v>
      </c>
      <c r="O79" s="779">
        <v>1280</v>
      </c>
      <c r="P79" s="780">
        <v>4766</v>
      </c>
      <c r="Q79" s="787"/>
      <c r="R79" s="788"/>
      <c r="S79" s="788"/>
    </row>
    <row r="80" spans="1:19" x14ac:dyDescent="0.2">
      <c r="A80" s="765" t="str">
        <f t="shared" si="4"/>
        <v>HT12S25</v>
      </c>
      <c r="B80" s="773" t="str">
        <f t="shared" si="3"/>
        <v>HT12S</v>
      </c>
      <c r="C80" s="784" t="str">
        <f>_xlfn.XLOOKUP(E80,'CP&amp;STAR'!$C$1:$C$500, 'CP&amp;STAR'!$B$1:$B$500)</f>
        <v>1290D215521925</v>
      </c>
      <c r="D80" s="775">
        <f>_xlfn.XLOOKUP(E80,'CP&amp;STAR'!$C$1:$C$500, 'CP&amp;STAR'!$D$1:$D$500)</f>
        <v>25</v>
      </c>
      <c r="E80" s="793" t="s">
        <v>319</v>
      </c>
      <c r="F80" s="776"/>
      <c r="G80" s="777">
        <f>_xlfn.XLOOKUP(E80,'CP&amp;STAR'!$C$1:$C$500, 'CP&amp;STAR'!$M$1:$M$500)</f>
        <v>967</v>
      </c>
      <c r="H80" s="776"/>
      <c r="I80" s="1034"/>
      <c r="J80" s="1034"/>
      <c r="K80" s="1034"/>
      <c r="L80" s="778" t="s">
        <v>463</v>
      </c>
      <c r="M80" s="779">
        <v>6217</v>
      </c>
      <c r="N80" s="776" t="s">
        <v>411</v>
      </c>
      <c r="O80" s="779">
        <v>4000</v>
      </c>
      <c r="P80" s="780">
        <v>2046</v>
      </c>
      <c r="Q80" s="787"/>
      <c r="R80" s="788"/>
      <c r="S80" s="788"/>
    </row>
    <row r="81" spans="1:19" x14ac:dyDescent="0.2">
      <c r="A81" s="765" t="str">
        <f t="shared" si="4"/>
        <v>HT12SX25</v>
      </c>
      <c r="B81" s="773" t="str">
        <f t="shared" si="3"/>
        <v>HT12SX</v>
      </c>
      <c r="C81" s="784" t="str">
        <f>_xlfn.XLOOKUP(E81,'CP&amp;STAR'!$C$1:$C$500, 'CP&amp;STAR'!$B$1:$B$500)</f>
        <v>1290D215527325</v>
      </c>
      <c r="D81" s="775">
        <f>_xlfn.XLOOKUP(E81,'CP&amp;STAR'!$C$1:$C$500, 'CP&amp;STAR'!$D$1:$D$500)</f>
        <v>25</v>
      </c>
      <c r="E81" s="793" t="s">
        <v>147</v>
      </c>
      <c r="F81" s="776"/>
      <c r="G81" s="777">
        <f>_xlfn.XLOOKUP(E81,'CP&amp;STAR'!$C$1:$C$500, 'CP&amp;STAR'!$M$1:$M$500)</f>
        <v>3315</v>
      </c>
      <c r="H81" s="776"/>
      <c r="I81" s="1034"/>
      <c r="J81" s="1034"/>
      <c r="K81" s="1034"/>
      <c r="L81" s="778" t="s">
        <v>464</v>
      </c>
      <c r="M81" s="779">
        <v>1838</v>
      </c>
      <c r="N81" s="776" t="s">
        <v>557</v>
      </c>
      <c r="O81" s="779">
        <v>2800</v>
      </c>
      <c r="P81" s="780" t="e">
        <v>#N/A</v>
      </c>
      <c r="Q81" s="787"/>
      <c r="R81" s="788"/>
      <c r="S81" s="788"/>
    </row>
    <row r="82" spans="1:19" x14ac:dyDescent="0.2">
      <c r="A82" s="765" t="str">
        <f t="shared" si="4"/>
        <v>HT1325</v>
      </c>
      <c r="B82" s="773" t="str">
        <f t="shared" si="3"/>
        <v>HT13</v>
      </c>
      <c r="C82" s="784" t="str">
        <f>_xlfn.XLOOKUP(E82,'CP&amp;STAR'!$C$1:$C$500, 'CP&amp;STAR'!$B$1:$B$500)</f>
        <v>1290D215530025</v>
      </c>
      <c r="D82" s="775">
        <f>_xlfn.XLOOKUP(E82,'CP&amp;STAR'!$C$1:$C$500, 'CP&amp;STAR'!$D$1:$D$500)</f>
        <v>25</v>
      </c>
      <c r="E82" s="793" t="s">
        <v>36</v>
      </c>
      <c r="F82" s="776"/>
      <c r="G82" s="777">
        <f>_xlfn.XLOOKUP(E82,'CP&amp;STAR'!$C$1:$C$500, 'CP&amp;STAR'!$M$1:$M$500)</f>
        <v>2106</v>
      </c>
      <c r="H82" s="776"/>
      <c r="I82" s="1034"/>
      <c r="J82" s="1034"/>
      <c r="K82" s="1034"/>
      <c r="L82" s="778" t="s">
        <v>509</v>
      </c>
      <c r="M82" s="779">
        <v>3340</v>
      </c>
      <c r="N82" s="776" t="s">
        <v>170</v>
      </c>
      <c r="O82" s="779"/>
      <c r="P82" s="780"/>
      <c r="Q82" s="787"/>
      <c r="R82" s="788"/>
      <c r="S82" s="788"/>
    </row>
    <row r="83" spans="1:19" x14ac:dyDescent="0.2">
      <c r="A83" s="765" t="str">
        <f t="shared" si="4"/>
        <v>HT13S25</v>
      </c>
      <c r="B83" s="773" t="str">
        <f t="shared" si="3"/>
        <v>HT13S</v>
      </c>
      <c r="C83" s="784" t="str">
        <f>_xlfn.XLOOKUP(E83,'CP&amp;STAR'!$C$1:$C$500, 'CP&amp;STAR'!$B$1:$B$500)</f>
        <v>1290D215531925</v>
      </c>
      <c r="D83" s="775">
        <f>_xlfn.XLOOKUP(E83,'CP&amp;STAR'!$C$1:$C$500, 'CP&amp;STAR'!$D$1:$D$500)</f>
        <v>25</v>
      </c>
      <c r="E83" s="793" t="s">
        <v>38</v>
      </c>
      <c r="F83" s="776"/>
      <c r="G83" s="777">
        <f>_xlfn.XLOOKUP(E83,'CP&amp;STAR'!$C$1:$C$500, 'CP&amp;STAR'!$M$1:$M$500)</f>
        <v>1212</v>
      </c>
      <c r="H83" s="776"/>
      <c r="I83" s="1034"/>
      <c r="J83" s="1034"/>
      <c r="K83" s="1034"/>
      <c r="L83" s="778" t="s">
        <v>465</v>
      </c>
      <c r="M83" s="779">
        <v>1403</v>
      </c>
      <c r="N83" s="776" t="s">
        <v>413</v>
      </c>
      <c r="O83" s="779">
        <v>400</v>
      </c>
      <c r="P83" s="780">
        <v>792</v>
      </c>
      <c r="Q83" s="787"/>
      <c r="R83" s="788"/>
      <c r="S83" s="788"/>
    </row>
    <row r="84" spans="1:19" x14ac:dyDescent="0.2">
      <c r="A84" s="765" t="str">
        <f t="shared" si="4"/>
        <v>HG1625</v>
      </c>
      <c r="B84" s="773" t="str">
        <f t="shared" si="3"/>
        <v>HG16</v>
      </c>
      <c r="C84" s="784" t="str">
        <f>_xlfn.XLOOKUP(E84,'CP&amp;STAR'!$C$1:$C$500, 'CP&amp;STAR'!$B$1:$B$500)</f>
        <v>1290D215660025</v>
      </c>
      <c r="D84" s="775">
        <f>_xlfn.XLOOKUP(E84,'CP&amp;STAR'!$C$1:$C$500, 'CP&amp;STAR'!$D$1:$D$500)</f>
        <v>25</v>
      </c>
      <c r="E84" s="793" t="s">
        <v>40</v>
      </c>
      <c r="F84" s="776"/>
      <c r="G84" s="777">
        <f>_xlfn.XLOOKUP(E84,'CP&amp;STAR'!$C$1:$C$500, 'CP&amp;STAR'!$M$1:$M$500)</f>
        <v>2533</v>
      </c>
      <c r="H84" s="776"/>
      <c r="I84" s="1034"/>
      <c r="J84" s="1034"/>
      <c r="K84" s="1034"/>
      <c r="L84" s="778" t="s">
        <v>465</v>
      </c>
      <c r="M84" s="779">
        <v>1000</v>
      </c>
      <c r="N84" s="776" t="s">
        <v>414</v>
      </c>
      <c r="O84" s="779">
        <v>560</v>
      </c>
      <c r="P84" s="780">
        <v>1456</v>
      </c>
      <c r="Q84" s="787"/>
      <c r="R84" s="788"/>
      <c r="S84" s="788"/>
    </row>
    <row r="85" spans="1:19" x14ac:dyDescent="0.2">
      <c r="A85" s="765" t="str">
        <f t="shared" si="4"/>
        <v>HG1725</v>
      </c>
      <c r="B85" s="773" t="str">
        <f t="shared" si="3"/>
        <v>HG17</v>
      </c>
      <c r="C85" s="784" t="str">
        <f>_xlfn.XLOOKUP(E85,'CP&amp;STAR'!$C$1:$C$500, 'CP&amp;STAR'!$B$1:$B$500)</f>
        <v>1290D215670025</v>
      </c>
      <c r="D85" s="775">
        <f>_xlfn.XLOOKUP(E85,'CP&amp;STAR'!$C$1:$C$500, 'CP&amp;STAR'!$D$1:$D$500)</f>
        <v>25</v>
      </c>
      <c r="E85" s="793" t="s">
        <v>42</v>
      </c>
      <c r="F85" s="776"/>
      <c r="G85" s="777">
        <f>_xlfn.XLOOKUP(E85,'CP&amp;STAR'!$C$1:$C$500, 'CP&amp;STAR'!$M$1:$M$500)</f>
        <v>982</v>
      </c>
      <c r="H85" s="776"/>
      <c r="I85" s="1034"/>
      <c r="J85" s="1034"/>
      <c r="K85" s="1034"/>
      <c r="L85" s="778" t="s">
        <v>536</v>
      </c>
      <c r="M85" s="779">
        <v>2010</v>
      </c>
      <c r="N85" s="776" t="s">
        <v>415</v>
      </c>
      <c r="O85" s="779">
        <v>480</v>
      </c>
      <c r="P85" s="780">
        <v>2804</v>
      </c>
      <c r="Q85" s="787"/>
      <c r="R85" s="788"/>
      <c r="S85" s="788"/>
    </row>
    <row r="86" spans="1:19" x14ac:dyDescent="0.2">
      <c r="A86" s="765" t="str">
        <f t="shared" si="4"/>
        <v>HG17S25</v>
      </c>
      <c r="B86" s="773" t="str">
        <f t="shared" si="3"/>
        <v>HG17S</v>
      </c>
      <c r="C86" s="784" t="str">
        <f>_xlfn.XLOOKUP(E86,'CP&amp;STAR'!$C$1:$C$500, 'CP&amp;STAR'!$B$1:$B$500)</f>
        <v>1290D215671925</v>
      </c>
      <c r="D86" s="775">
        <f>_xlfn.XLOOKUP(E86,'CP&amp;STAR'!$C$1:$C$500, 'CP&amp;STAR'!$D$1:$D$500)</f>
        <v>25</v>
      </c>
      <c r="E86" s="793" t="s">
        <v>46</v>
      </c>
      <c r="F86" s="776"/>
      <c r="G86" s="777">
        <f>_xlfn.XLOOKUP(E86,'CP&amp;STAR'!$C$1:$C$500, 'CP&amp;STAR'!$M$1:$M$500)</f>
        <v>2735</v>
      </c>
      <c r="H86" s="776"/>
      <c r="I86" s="1034"/>
      <c r="J86" s="1034"/>
      <c r="K86" s="1034"/>
      <c r="L86" s="778" t="s">
        <v>466</v>
      </c>
      <c r="M86" s="779">
        <v>2305</v>
      </c>
      <c r="N86" s="776" t="s">
        <v>416</v>
      </c>
      <c r="O86" s="779">
        <v>800</v>
      </c>
      <c r="P86" s="780">
        <v>2525</v>
      </c>
      <c r="Q86" s="787"/>
      <c r="R86" s="788"/>
      <c r="S86" s="788"/>
    </row>
    <row r="87" spans="1:19" x14ac:dyDescent="0.2">
      <c r="A87" s="765" t="str">
        <f t="shared" si="4"/>
        <v>VT1125</v>
      </c>
      <c r="B87" s="773" t="str">
        <f t="shared" si="3"/>
        <v>VT11</v>
      </c>
      <c r="C87" s="784" t="str">
        <f>_xlfn.XLOOKUP(E87,'CP&amp;STAR'!$C$1:$C$500, 'CP&amp;STAR'!$B$1:$B$500)</f>
        <v>1290D215480025</v>
      </c>
      <c r="D87" s="775">
        <f>_xlfn.XLOOKUP(E87,'CP&amp;STAR'!$C$1:$C$500, 'CP&amp;STAR'!$D$1:$D$500)</f>
        <v>25</v>
      </c>
      <c r="E87" s="793" t="s">
        <v>30</v>
      </c>
      <c r="F87" s="776"/>
      <c r="G87" s="777">
        <f>_xlfn.XLOOKUP(E87,'CP&amp;STAR'!$C$1:$C$500, 'CP&amp;STAR'!$M$1:$M$500)</f>
        <v>2016</v>
      </c>
      <c r="H87" s="776"/>
      <c r="I87" s="1034"/>
      <c r="J87" s="1034"/>
      <c r="K87" s="1034"/>
      <c r="L87" s="778" t="s">
        <v>466</v>
      </c>
      <c r="M87" s="779">
        <v>2174</v>
      </c>
      <c r="N87" s="776" t="s">
        <v>417</v>
      </c>
      <c r="O87" s="779">
        <v>800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VT1225</v>
      </c>
      <c r="B88" s="773" t="str">
        <f t="shared" si="3"/>
        <v>VT12</v>
      </c>
      <c r="C88" s="784" t="str">
        <f>_xlfn.XLOOKUP(E88,'CP&amp;STAR'!$C$1:$C$500, 'CP&amp;STAR'!$B$1:$B$500)</f>
        <v>1290D215490025</v>
      </c>
      <c r="D88" s="775">
        <f>_xlfn.XLOOKUP(E88,'CP&amp;STAR'!$C$1:$C$500, 'CP&amp;STAR'!$D$1:$D$500)</f>
        <v>25</v>
      </c>
      <c r="E88" s="793" t="s">
        <v>32</v>
      </c>
      <c r="F88" s="776"/>
      <c r="G88" s="777">
        <f>_xlfn.XLOOKUP(E88,'CP&amp;STAR'!$C$1:$C$500, 'CP&amp;STAR'!$M$1:$M$500)</f>
        <v>6516</v>
      </c>
      <c r="H88" s="776"/>
      <c r="I88" s="1034"/>
      <c r="J88" s="1034"/>
      <c r="K88" s="1034"/>
      <c r="L88" s="778" t="s">
        <v>467</v>
      </c>
      <c r="M88" s="779">
        <v>3394</v>
      </c>
      <c r="N88" s="776" t="s">
        <v>418</v>
      </c>
      <c r="O88" s="779">
        <v>2400</v>
      </c>
      <c r="P88" s="780">
        <v>4116</v>
      </c>
      <c r="Q88" s="787"/>
      <c r="R88" s="788"/>
      <c r="S88" s="788"/>
    </row>
    <row r="89" spans="1:19" x14ac:dyDescent="0.2">
      <c r="A89" s="765" t="str">
        <f t="shared" si="4"/>
        <v>GD1425</v>
      </c>
      <c r="B89" s="773" t="str">
        <f t="shared" si="3"/>
        <v>GD14</v>
      </c>
      <c r="C89" s="784" t="str">
        <f>_xlfn.XLOOKUP(E89,'CP&amp;STAR'!$C$1:$C$500, 'CP&amp;STAR'!$B$1:$B$500)</f>
        <v>1290D215240025</v>
      </c>
      <c r="D89" s="775">
        <f>_xlfn.XLOOKUP(E89,'CP&amp;STAR'!$C$1:$C$500, 'CP&amp;STAR'!$D$1:$D$500)</f>
        <v>25</v>
      </c>
      <c r="E89" s="793" t="s">
        <v>308</v>
      </c>
      <c r="F89" s="776"/>
      <c r="G89" s="777">
        <f>_xlfn.XLOOKUP(E89,'CP&amp;STAR'!$C$1:$C$500, 'CP&amp;STAR'!$M$1:$M$500)</f>
        <v>6330</v>
      </c>
      <c r="H89" s="776"/>
      <c r="I89" s="1034"/>
      <c r="J89" s="1034"/>
      <c r="K89" s="1034"/>
      <c r="L89" s="778" t="s">
        <v>406</v>
      </c>
      <c r="M89" s="779">
        <v>5824</v>
      </c>
      <c r="N89" s="776" t="s">
        <v>419</v>
      </c>
      <c r="O89" s="779">
        <v>1280</v>
      </c>
      <c r="P89" s="780">
        <v>4970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309</v>
      </c>
      <c r="F90" s="776"/>
      <c r="G90" s="777">
        <f>_xlfn.XLOOKUP(E90,'CP&amp;STAR'!$C$1:$C$500, 'CP&amp;STAR'!$M$1:$M$500)</f>
        <v>2527</v>
      </c>
      <c r="H90" s="776"/>
      <c r="I90" s="1034"/>
      <c r="J90" s="1034"/>
      <c r="K90" s="1034"/>
      <c r="L90" s="778" t="s">
        <v>546</v>
      </c>
      <c r="M90" s="779">
        <v>1946</v>
      </c>
      <c r="N90" s="776" t="s">
        <v>420</v>
      </c>
      <c r="O90" s="779">
        <v>2600</v>
      </c>
      <c r="P90" s="780">
        <v>2707</v>
      </c>
      <c r="Q90" s="787"/>
      <c r="R90" s="788"/>
      <c r="S90" s="788"/>
    </row>
    <row r="91" spans="1:19" x14ac:dyDescent="0.2">
      <c r="A91" s="765" t="str">
        <f t="shared" si="4"/>
        <v>GT1125</v>
      </c>
      <c r="B91" s="773" t="str">
        <f t="shared" si="3"/>
        <v>GT11</v>
      </c>
      <c r="C91" s="784" t="str">
        <f>_xlfn.XLOOKUP(E91,'CP&amp;STAR'!$C$1:$C$500, 'CP&amp;STAR'!$B$1:$B$500)</f>
        <v>1290D215210025</v>
      </c>
      <c r="D91" s="775">
        <f>_xlfn.XLOOKUP(E91,'CP&amp;STAR'!$C$1:$C$500, 'CP&amp;STAR'!$D$1:$D$500)</f>
        <v>25</v>
      </c>
      <c r="E91" s="784" t="s">
        <v>294</v>
      </c>
      <c r="F91" s="776"/>
      <c r="G91" s="777">
        <f>_xlfn.XLOOKUP(E91,'CP&amp;STAR'!$C$1:$C$500, 'CP&amp;STAR'!$M$1:$M$500)</f>
        <v>6217</v>
      </c>
      <c r="H91" s="776"/>
      <c r="I91" s="1034"/>
      <c r="J91" s="1034"/>
      <c r="K91" s="1034"/>
      <c r="L91" s="791" t="s">
        <v>579</v>
      </c>
      <c r="M91" s="779">
        <v>1938</v>
      </c>
      <c r="N91" s="776" t="s">
        <v>421</v>
      </c>
      <c r="O91" s="779">
        <v>16</v>
      </c>
      <c r="P91" s="780">
        <v>4408</v>
      </c>
      <c r="Q91" s="787"/>
      <c r="R91" s="788"/>
      <c r="S91" s="788"/>
    </row>
    <row r="92" spans="1:19" x14ac:dyDescent="0.2">
      <c r="A92" s="765" t="str">
        <f t="shared" si="4"/>
        <v>GT11S25</v>
      </c>
      <c r="B92" s="773" t="str">
        <f t="shared" si="3"/>
        <v>GT11S</v>
      </c>
      <c r="C92" s="784" t="str">
        <f>_xlfn.XLOOKUP(E92,'CP&amp;STAR'!$C$1:$C$500, 'CP&amp;STAR'!$B$1:$B$500)</f>
        <v>1290D215101925</v>
      </c>
      <c r="D92" s="775">
        <f>_xlfn.XLOOKUP(E92,'CP&amp;STAR'!$C$1:$C$500, 'CP&amp;STAR'!$D$1:$D$500)</f>
        <v>25</v>
      </c>
      <c r="E92" s="784" t="s">
        <v>338</v>
      </c>
      <c r="G92" s="777">
        <f>_xlfn.XLOOKUP(E92,'CP&amp;STAR'!$C$1:$C$500, 'CP&amp;STAR'!$M$1:$M$500)</f>
        <v>1838</v>
      </c>
      <c r="L92" s="778" t="s">
        <v>432</v>
      </c>
      <c r="M92" s="779">
        <v>2974</v>
      </c>
      <c r="N92" s="776" t="s">
        <v>558</v>
      </c>
      <c r="O92" s="779">
        <v>12</v>
      </c>
      <c r="P92" s="780" t="e">
        <v>#N/A</v>
      </c>
      <c r="Q92" s="787"/>
      <c r="R92" s="788"/>
      <c r="S92" s="788"/>
    </row>
    <row r="93" spans="1:19" x14ac:dyDescent="0.2">
      <c r="A93" s="765" t="str">
        <f t="shared" si="4"/>
        <v>GT1225</v>
      </c>
      <c r="B93" s="773" t="str">
        <f t="shared" si="3"/>
        <v>GT12</v>
      </c>
      <c r="C93" s="784" t="str">
        <f>_xlfn.XLOOKUP(E93,'CP&amp;STAR'!$C$1:$C$500, 'CP&amp;STAR'!$B$1:$B$500)</f>
        <v>1290D215110025</v>
      </c>
      <c r="D93" s="775">
        <f>_xlfn.XLOOKUP(E93,'CP&amp;STAR'!$C$1:$C$500, 'CP&amp;STAR'!$D$1:$D$500)</f>
        <v>25</v>
      </c>
      <c r="E93" s="784" t="s">
        <v>289</v>
      </c>
      <c r="G93" s="777">
        <f>_xlfn.XLOOKUP(E93,'CP&amp;STAR'!$C$1:$C$500, 'CP&amp;STAR'!$M$1:$M$500)</f>
        <v>3340</v>
      </c>
      <c r="L93" s="778" t="s">
        <v>480</v>
      </c>
      <c r="M93" s="779">
        <v>962</v>
      </c>
      <c r="N93" s="776" t="s">
        <v>170</v>
      </c>
      <c r="O93" s="779"/>
      <c r="P93" s="780"/>
      <c r="Q93" s="787"/>
      <c r="R93" s="788"/>
      <c r="S93" s="788"/>
    </row>
    <row r="94" spans="1:19" x14ac:dyDescent="0.2">
      <c r="A94" s="765" t="str">
        <f t="shared" si="4"/>
        <v>GT12A25</v>
      </c>
      <c r="B94" s="773" t="str">
        <f t="shared" si="3"/>
        <v>GT12A</v>
      </c>
      <c r="C94" s="784" t="str">
        <f>_xlfn.XLOOKUP(E94,'CP&amp;STAR'!$C$1:$C$500, 'CP&amp;STAR'!$B$1:$B$500)</f>
        <v>1290D215110125</v>
      </c>
      <c r="D94" s="775">
        <f>_xlfn.XLOOKUP(E94,'CP&amp;STAR'!$C$1:$C$500, 'CP&amp;STAR'!$D$1:$D$500)</f>
        <v>25</v>
      </c>
      <c r="E94" s="630" t="s">
        <v>295</v>
      </c>
      <c r="F94" s="776"/>
      <c r="G94" s="777">
        <f>_xlfn.XLOOKUP(E94,'CP&amp;STAR'!$C$1:$C$500, 'CP&amp;STAR'!$M$1:$M$500)</f>
        <v>1403</v>
      </c>
      <c r="H94" s="776"/>
      <c r="I94" s="1036"/>
      <c r="J94" s="1037"/>
      <c r="K94" s="1038"/>
      <c r="L94" s="778" t="s">
        <v>468</v>
      </c>
      <c r="M94" s="779">
        <v>745</v>
      </c>
      <c r="N94" s="776" t="s">
        <v>422</v>
      </c>
      <c r="O94" s="779">
        <v>960</v>
      </c>
      <c r="P94" s="780">
        <v>1600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329</v>
      </c>
      <c r="F95" s="776"/>
      <c r="G95" s="777">
        <f>_xlfn.XLOOKUP(E95,'CP&amp;STAR'!$C$1:$C$500, 'CP&amp;STAR'!$M$1:$M$500)</f>
        <v>1000</v>
      </c>
      <c r="H95" s="776"/>
      <c r="I95" s="1039"/>
      <c r="J95" s="1040"/>
      <c r="K95" s="1041"/>
      <c r="L95" s="778" t="s">
        <v>469</v>
      </c>
      <c r="M95" s="779">
        <v>2340</v>
      </c>
      <c r="N95" s="776" t="s">
        <v>447</v>
      </c>
      <c r="O95" s="779">
        <v>960</v>
      </c>
      <c r="P95" s="780">
        <v>1474</v>
      </c>
      <c r="Q95" s="787"/>
      <c r="R95" s="788"/>
      <c r="S95" s="788"/>
    </row>
    <row r="96" spans="1:19" x14ac:dyDescent="0.2">
      <c r="A96" s="765" t="str">
        <f t="shared" si="4"/>
        <v>GT12S25</v>
      </c>
      <c r="B96" s="773" t="str">
        <f t="shared" si="3"/>
        <v>GT12S</v>
      </c>
      <c r="C96" s="784" t="str">
        <f>_xlfn.XLOOKUP(E96,'CP&amp;STAR'!$C$1:$C$500, 'CP&amp;STAR'!$B$1:$B$500)</f>
        <v>1290D225111925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2010</v>
      </c>
      <c r="H96" s="776"/>
      <c r="I96" s="1039"/>
      <c r="J96" s="1040"/>
      <c r="K96" s="1041"/>
      <c r="L96" s="778" t="s">
        <v>436</v>
      </c>
      <c r="M96" s="779">
        <v>4306</v>
      </c>
      <c r="N96" s="776" t="s">
        <v>423</v>
      </c>
      <c r="O96" s="779">
        <v>960</v>
      </c>
      <c r="P96" s="780">
        <v>1829</v>
      </c>
      <c r="Q96" s="787"/>
      <c r="R96" s="788"/>
      <c r="S96" s="788"/>
    </row>
    <row r="97" spans="1:19" x14ac:dyDescent="0.2">
      <c r="A97" s="765" t="str">
        <f t="shared" si="4"/>
        <v>GT12AS25</v>
      </c>
      <c r="B97" s="773" t="str">
        <f t="shared" si="3"/>
        <v>GT12AS</v>
      </c>
      <c r="C97" s="784" t="str">
        <f>_xlfn.XLOOKUP(E97,'CP&amp;STAR'!$C$1:$C$500, 'CP&amp;STAR'!$B$1:$B$500)</f>
        <v>1290D215118425</v>
      </c>
      <c r="D97" s="775">
        <f>_xlfn.XLOOKUP(E97,'CP&amp;STAR'!$C$1:$C$500, 'CP&amp;STAR'!$D$1:$D$500)</f>
        <v>25</v>
      </c>
      <c r="E97" s="630" t="s">
        <v>330</v>
      </c>
      <c r="F97" s="776"/>
      <c r="G97" s="777">
        <f>_xlfn.XLOOKUP(E97,'CP&amp;STAR'!$C$1:$C$500, 'CP&amp;STAR'!$M$1:$M$500)</f>
        <v>2305</v>
      </c>
      <c r="H97" s="776"/>
      <c r="I97" s="1039"/>
      <c r="J97" s="1040"/>
      <c r="K97" s="1041"/>
      <c r="L97" s="778" t="s">
        <v>470</v>
      </c>
      <c r="M97" s="779">
        <v>1465</v>
      </c>
      <c r="N97" s="776" t="s">
        <v>170</v>
      </c>
      <c r="O97" s="779"/>
      <c r="P97" s="780"/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350</v>
      </c>
      <c r="F98" s="776"/>
      <c r="G98" s="777">
        <f>_xlfn.XLOOKUP(E98,'CP&amp;STAR'!$C$1:$C$500, 'CP&amp;STAR'!$M$1:$M$500)</f>
        <v>2174</v>
      </c>
      <c r="H98" s="776"/>
      <c r="I98" s="1039"/>
      <c r="J98" s="1040"/>
      <c r="K98" s="1041"/>
      <c r="L98" s="778" t="s">
        <v>471</v>
      </c>
      <c r="M98" s="779">
        <v>417</v>
      </c>
      <c r="N98" s="776" t="s">
        <v>424</v>
      </c>
      <c r="O98" s="779">
        <v>640</v>
      </c>
      <c r="P98" s="780">
        <v>2540</v>
      </c>
      <c r="Q98" s="787"/>
      <c r="R98" s="788"/>
      <c r="S98" s="788"/>
    </row>
    <row r="99" spans="1:19" x14ac:dyDescent="0.2">
      <c r="A99" s="765" t="str">
        <f t="shared" si="4"/>
        <v>GT12BS25</v>
      </c>
      <c r="B99" s="773" t="str">
        <f t="shared" si="5"/>
        <v>GT12BS</v>
      </c>
      <c r="C99" s="784" t="str">
        <f>_xlfn.XLOOKUP(E99,'CP&amp;STAR'!$C$1:$C$500, 'CP&amp;STAR'!$B$1:$B$500)</f>
        <v>1290D215117225</v>
      </c>
      <c r="D99" s="775">
        <f>_xlfn.XLOOKUP(E99,'CP&amp;STAR'!$C$1:$C$500, 'CP&amp;STAR'!$D$1:$D$500)</f>
        <v>25</v>
      </c>
      <c r="E99" s="630" t="s">
        <v>337</v>
      </c>
      <c r="F99" s="776"/>
      <c r="G99" s="777">
        <f>_xlfn.XLOOKUP(E99,'CP&amp;STAR'!$C$1:$C$500, 'CP&amp;STAR'!$M$1:$M$500)</f>
        <v>3394</v>
      </c>
      <c r="H99" s="776"/>
      <c r="I99" s="1039"/>
      <c r="J99" s="1040"/>
      <c r="K99" s="1041"/>
      <c r="L99" s="778" t="s">
        <v>433</v>
      </c>
      <c r="M99" s="779">
        <v>3244</v>
      </c>
      <c r="N99" s="776" t="s">
        <v>425</v>
      </c>
      <c r="O99" s="779">
        <v>320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GT12B25</v>
      </c>
      <c r="B100" s="773" t="str">
        <f t="shared" si="5"/>
        <v>GT12B</v>
      </c>
      <c r="C100" s="784" t="str">
        <f>_xlfn.XLOOKUP(E100,'CP&amp;STAR'!$C$1:$C$500, 'CP&amp;STAR'!$B$1:$B$500)</f>
        <v>1290D215110225</v>
      </c>
      <c r="D100" s="775">
        <f>_xlfn.XLOOKUP(E100,'CP&amp;STAR'!$C$1:$C$500, 'CP&amp;STAR'!$D$1:$D$500)</f>
        <v>25</v>
      </c>
      <c r="E100" s="630" t="s">
        <v>296</v>
      </c>
      <c r="F100" s="776"/>
      <c r="G100" s="777">
        <f>_xlfn.XLOOKUP(E100,'CP&amp;STAR'!$C$1:$C$500, 'CP&amp;STAR'!$M$1:$M$500)</f>
        <v>5824</v>
      </c>
      <c r="H100" s="776"/>
      <c r="I100" s="1039"/>
      <c r="J100" s="1040"/>
      <c r="K100" s="1041"/>
      <c r="L100" s="778" t="s">
        <v>501</v>
      </c>
      <c r="M100" s="779">
        <v>80</v>
      </c>
      <c r="N100" s="776" t="s">
        <v>426</v>
      </c>
      <c r="O100" s="779">
        <v>320</v>
      </c>
      <c r="P100" s="780">
        <v>2357</v>
      </c>
      <c r="Q100" s="787"/>
      <c r="R100" s="788"/>
      <c r="S100" s="788"/>
    </row>
    <row r="101" spans="1:19" x14ac:dyDescent="0.2">
      <c r="A101" s="765" t="str">
        <f t="shared" si="4"/>
        <v>BS06TA40</v>
      </c>
      <c r="B101" s="773" t="str">
        <f t="shared" si="5"/>
        <v>BS06TA</v>
      </c>
      <c r="C101" s="784" t="str">
        <f>_xlfn.XLOOKUP(E101,'CP&amp;STAR'!$C$1:$C$500, 'CP&amp;STAR'!$B$1:$B$500)</f>
        <v>1290M5BS060840</v>
      </c>
      <c r="D101" s="775">
        <f>_xlfn.XLOOKUP(E101,'CP&amp;STAR'!$C$1:$C$500, 'CP&amp;STAR'!$D$1:$D$500)</f>
        <v>40</v>
      </c>
      <c r="E101" s="630" t="s">
        <v>542</v>
      </c>
      <c r="F101" s="776"/>
      <c r="G101" s="777">
        <f>_xlfn.XLOOKUP(E101,'CP&amp;STAR'!$C$1:$C$500, 'CP&amp;STAR'!$M$1:$M$500)</f>
        <v>1946</v>
      </c>
      <c r="H101" s="776"/>
      <c r="I101" s="1039"/>
      <c r="J101" s="1040"/>
      <c r="K101" s="1041"/>
      <c r="L101" s="778" t="s">
        <v>472</v>
      </c>
      <c r="M101" s="779">
        <v>2170</v>
      </c>
      <c r="N101" s="776" t="s">
        <v>427</v>
      </c>
      <c r="O101" s="779">
        <v>640</v>
      </c>
      <c r="P101" s="780">
        <v>2538</v>
      </c>
      <c r="Q101" s="787"/>
      <c r="R101" s="788"/>
      <c r="S101" s="788"/>
    </row>
    <row r="102" spans="1:19" x14ac:dyDescent="0.2">
      <c r="A102" s="765" t="str">
        <f t="shared" si="4"/>
        <v>BS10TA40</v>
      </c>
      <c r="B102" s="773" t="str">
        <f t="shared" si="5"/>
        <v>BS10TA</v>
      </c>
      <c r="C102" s="784" t="str">
        <f>_xlfn.XLOOKUP(E102,'CP&amp;STAR'!$C$1:$C$500, 'CP&amp;STAR'!$B$1:$B$500)</f>
        <v>1290M5BS100840</v>
      </c>
      <c r="D102" s="775">
        <f>_xlfn.XLOOKUP(E102,'CP&amp;STAR'!$C$1:$C$500, 'CP&amp;STAR'!$D$1:$D$500)</f>
        <v>40</v>
      </c>
      <c r="E102" s="630" t="s">
        <v>543</v>
      </c>
      <c r="F102" s="776"/>
      <c r="G102" s="777">
        <f>_xlfn.XLOOKUP(E102,'CP&amp;STAR'!$C$1:$C$500, 'CP&amp;STAR'!$M$1:$M$500)</f>
        <v>1938</v>
      </c>
      <c r="H102" s="776"/>
      <c r="I102" s="1039"/>
      <c r="J102" s="1040"/>
      <c r="K102" s="1041"/>
      <c r="L102" s="778" t="s">
        <v>473</v>
      </c>
      <c r="M102" s="779">
        <v>2529</v>
      </c>
      <c r="N102" s="776" t="s">
        <v>546</v>
      </c>
      <c r="O102" s="779">
        <v>300</v>
      </c>
      <c r="P102" s="780">
        <v>1646</v>
      </c>
      <c r="Q102" s="787"/>
      <c r="R102" s="788"/>
      <c r="S102" s="788"/>
    </row>
    <row r="103" spans="1:19" x14ac:dyDescent="0.2">
      <c r="B103" s="773" t="str">
        <f t="shared" si="5"/>
        <v>BS06LD</v>
      </c>
      <c r="C103" s="784" t="str">
        <f>_xlfn.XLOOKUP(E103,'CP&amp;STAR'!$C$1:$C$500, 'CP&amp;STAR'!$B$1:$B$500)</f>
        <v>1290M6BS060540</v>
      </c>
      <c r="D103" s="775">
        <f>_xlfn.XLOOKUP(E103,'CP&amp;STAR'!$C$1:$C$500, 'CP&amp;STAR'!$D$1:$D$500)</f>
        <v>40</v>
      </c>
      <c r="E103" s="630" t="s">
        <v>531</v>
      </c>
      <c r="F103" s="776"/>
      <c r="G103" s="777">
        <f>_xlfn.XLOOKUP(E103,'CP&amp;STAR'!$C$1:$C$500, 'CP&amp;STAR'!$M$1:$M$500)</f>
        <v>1700</v>
      </c>
      <c r="H103" s="776"/>
      <c r="I103" s="1039"/>
      <c r="J103" s="1040"/>
      <c r="K103" s="1041"/>
      <c r="L103" s="778" t="s">
        <v>474</v>
      </c>
      <c r="M103" s="779">
        <v>96</v>
      </c>
      <c r="N103" s="776" t="s">
        <v>428</v>
      </c>
      <c r="O103" s="779">
        <v>160</v>
      </c>
      <c r="P103" s="780">
        <v>1803</v>
      </c>
      <c r="Q103" s="787"/>
      <c r="R103" s="788"/>
      <c r="S103" s="788"/>
    </row>
    <row r="104" spans="1:19" x14ac:dyDescent="0.2">
      <c r="B104" s="773" t="str">
        <f t="shared" si="5"/>
        <v>BS10LD</v>
      </c>
      <c r="C104" s="784" t="str">
        <f>_xlfn.XLOOKUP(E104,'CP&amp;STAR'!$C$1:$C$500, 'CP&amp;STAR'!$B$1:$B$500)</f>
        <v>1290M6BS100540</v>
      </c>
      <c r="D104" s="775">
        <f>_xlfn.XLOOKUP(E104,'CP&amp;STAR'!$C$1:$C$500, 'CP&amp;STAR'!$D$1:$D$500)</f>
        <v>40</v>
      </c>
      <c r="E104" s="630" t="s">
        <v>532</v>
      </c>
      <c r="F104" s="776"/>
      <c r="G104" s="777">
        <f>_xlfn.XLOOKUP(E104,'CP&amp;STAR'!$C$1:$C$500, 'CP&amp;STAR'!$M$1:$M$500)</f>
        <v>2030</v>
      </c>
      <c r="H104" s="776"/>
      <c r="I104" s="1039"/>
      <c r="J104" s="1040"/>
      <c r="K104" s="1041"/>
      <c r="L104" s="778" t="s">
        <v>475</v>
      </c>
      <c r="M104" s="779">
        <v>55</v>
      </c>
      <c r="N104" s="776" t="s">
        <v>429</v>
      </c>
      <c r="O104" s="779">
        <v>160</v>
      </c>
      <c r="P104" s="780">
        <v>370</v>
      </c>
      <c r="Q104" s="787"/>
      <c r="R104" s="788"/>
      <c r="S104" s="788"/>
    </row>
    <row r="105" spans="1:19" ht="20.25" x14ac:dyDescent="0.2">
      <c r="B105" s="773" t="str">
        <f t="shared" si="5"/>
        <v/>
      </c>
      <c r="E105" s="867" t="s">
        <v>494</v>
      </c>
      <c r="F105" s="776"/>
      <c r="G105" s="777"/>
      <c r="H105" s="776"/>
      <c r="I105" s="1039"/>
      <c r="J105" s="1040"/>
      <c r="K105" s="1041"/>
      <c r="L105" s="778" t="s">
        <v>476</v>
      </c>
      <c r="M105" s="779">
        <v>3511</v>
      </c>
      <c r="N105" s="776" t="s">
        <v>430</v>
      </c>
      <c r="O105" s="779">
        <v>320</v>
      </c>
      <c r="P105" s="780" t="e">
        <v>#N/A</v>
      </c>
      <c r="Q105" s="787"/>
      <c r="R105" s="788"/>
      <c r="S105" s="788"/>
    </row>
    <row r="106" spans="1:19" ht="20.25" x14ac:dyDescent="0.2">
      <c r="B106" s="773" t="str">
        <f t="shared" si="5"/>
        <v>6884</v>
      </c>
      <c r="C106" s="784" t="str">
        <f>_xlfn.XLOOKUP(E106,'NASA &amp; NUVO'!$C$1:$C$500,'NASA &amp; NUVO'!$B$1:$B$500)</f>
        <v>1290K468840025</v>
      </c>
      <c r="D106" s="775">
        <f>_xlfn.XLOOKUP(E106,'NASA &amp; NUVO'!$C$1:$C$500,'NASA &amp; NUVO'!$D$1:$D$500)</f>
        <v>25</v>
      </c>
      <c r="E106" s="867" t="s">
        <v>197</v>
      </c>
      <c r="F106" s="776"/>
      <c r="G106" s="777">
        <f>_xlfn.XLOOKUP(E106,'NASA &amp; NUVO'!$C$1:$C$500,'NASA &amp; NUVO'!$M$1:$M$500)</f>
        <v>2965</v>
      </c>
      <c r="H106" s="776"/>
      <c r="I106" s="1039"/>
      <c r="J106" s="1040"/>
      <c r="K106" s="1041"/>
      <c r="L106" s="778" t="s">
        <v>477</v>
      </c>
      <c r="M106" s="779">
        <v>3707</v>
      </c>
      <c r="N106" s="776" t="s">
        <v>431</v>
      </c>
      <c r="O106" s="779">
        <v>1920</v>
      </c>
      <c r="P106" s="780" t="e">
        <v>#N/A</v>
      </c>
      <c r="Q106" s="787"/>
      <c r="R106" s="788"/>
      <c r="S106" s="788"/>
    </row>
    <row r="107" spans="1:19" ht="20.25" x14ac:dyDescent="0.2">
      <c r="A107" s="765" t="str">
        <f t="shared" si="4"/>
        <v>689525</v>
      </c>
      <c r="B107" s="773" t="str">
        <f t="shared" si="5"/>
        <v>6895</v>
      </c>
      <c r="C107" s="784" t="str">
        <f>_xlfn.XLOOKUP(E107,'NASA &amp; NUVO'!$C$1:$C$500,'NASA &amp; NUVO'!$B$1:$B$500)</f>
        <v>1290K368950025</v>
      </c>
      <c r="D107" s="775">
        <f>_xlfn.XLOOKUP(E107,'NASA &amp; NUVO'!$C$1:$C$500,'NASA &amp; NUVO'!$D$1:$D$500)</f>
        <v>25</v>
      </c>
      <c r="E107" s="867" t="s">
        <v>198</v>
      </c>
      <c r="F107" s="776"/>
      <c r="G107" s="777">
        <f>_xlfn.XLOOKUP(E107,'NASA &amp; NUVO'!$C$1:$C$500,'NASA &amp; NUVO'!$M$1:$M$500)</f>
        <v>2974</v>
      </c>
      <c r="H107" s="776"/>
      <c r="I107" s="1039"/>
      <c r="J107" s="1040"/>
      <c r="K107" s="1041"/>
      <c r="L107" s="778" t="s">
        <v>405</v>
      </c>
      <c r="M107" s="779">
        <v>17500</v>
      </c>
      <c r="N107" s="776" t="s">
        <v>432</v>
      </c>
      <c r="O107" s="779">
        <v>640</v>
      </c>
      <c r="P107" s="780">
        <v>2334</v>
      </c>
      <c r="Q107" s="787"/>
      <c r="R107" s="788"/>
      <c r="S107" s="788"/>
    </row>
    <row r="108" spans="1:19" x14ac:dyDescent="0.2">
      <c r="B108" s="773" t="str">
        <f t="shared" si="5"/>
        <v>6911</v>
      </c>
      <c r="C108" s="784" t="str">
        <f>_xlfn.XLOOKUP(E108,'NASA &amp; NUVO'!$C$1:$C$500,'NASA &amp; NUVO'!$B$1:$B$500)</f>
        <v>1290D2069110025</v>
      </c>
      <c r="D108" s="775">
        <f>_xlfn.XLOOKUP(E108,'NASA &amp; NUVO'!$C$1:$C$500,'NASA &amp; NUVO'!$D$1:$D$500)</f>
        <v>25</v>
      </c>
      <c r="E108" s="630" t="s">
        <v>533</v>
      </c>
      <c r="F108" s="776"/>
      <c r="G108" s="777">
        <f>_xlfn.XLOOKUP(E108,'NASA &amp; NUVO'!$C$1:$C$500,'NASA &amp; NUVO'!$M$1:$M$500)</f>
        <v>1560</v>
      </c>
      <c r="H108" s="776"/>
      <c r="I108" s="1039"/>
      <c r="J108" s="1040"/>
      <c r="K108" s="1041"/>
      <c r="L108" s="778" t="s">
        <v>408</v>
      </c>
      <c r="M108" s="779">
        <v>8035</v>
      </c>
      <c r="N108" s="776" t="s">
        <v>433</v>
      </c>
      <c r="O108" s="779">
        <v>320</v>
      </c>
      <c r="P108" s="780">
        <v>2924</v>
      </c>
      <c r="Q108" s="787"/>
      <c r="R108" s="788"/>
      <c r="S108" s="788"/>
    </row>
    <row r="109" spans="1:19" x14ac:dyDescent="0.2">
      <c r="A109" s="765" t="str">
        <f t="shared" si="4"/>
        <v>692425</v>
      </c>
      <c r="B109" s="773" t="str">
        <f t="shared" si="5"/>
        <v>6924</v>
      </c>
      <c r="C109" s="784" t="str">
        <f>_xlfn.XLOOKUP(E109,'NASA &amp; NUVO'!$C$1:$C$500,'NASA &amp; NUVO'!$B$1:$B$500)</f>
        <v>1290K369240025</v>
      </c>
      <c r="D109" s="775">
        <f>_xlfn.XLOOKUP(E109,'NASA &amp; NUVO'!$C$1:$C$500,'NASA &amp; NUVO'!$D$1:$D$500)</f>
        <v>25</v>
      </c>
      <c r="E109" s="868" t="s">
        <v>199</v>
      </c>
      <c r="F109" s="776"/>
      <c r="G109" s="777">
        <f>_xlfn.XLOOKUP(E109,'NASA &amp; NUVO'!$C$1:$C$500,'NASA &amp; NUVO'!$M$1:$M$500)</f>
        <v>962</v>
      </c>
      <c r="H109" s="776"/>
      <c r="I109" s="1039"/>
      <c r="J109" s="1040"/>
      <c r="K109" s="1041"/>
      <c r="L109" s="778" t="s">
        <v>420</v>
      </c>
      <c r="M109" s="779">
        <v>5307</v>
      </c>
      <c r="N109" s="776" t="s">
        <v>170</v>
      </c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694925</v>
      </c>
      <c r="B110" s="773" t="str">
        <f t="shared" si="5"/>
        <v>6949</v>
      </c>
      <c r="C110" s="784" t="str">
        <f>_xlfn.XLOOKUP(E110,'NASA &amp; NUVO'!$C$1:$C$500,'NASA &amp; NUVO'!$B$1:$B$500)</f>
        <v>1290D269490025</v>
      </c>
      <c r="D110" s="775">
        <f>_xlfn.XLOOKUP(E110,'NASA &amp; NUVO'!$C$1:$C$500,'NASA &amp; NUVO'!$D$1:$D$500)</f>
        <v>25</v>
      </c>
      <c r="E110" s="868" t="s">
        <v>200</v>
      </c>
      <c r="F110" s="776"/>
      <c r="G110" s="777">
        <f>_xlfn.XLOOKUP(E110,'NASA &amp; NUVO'!$C$1:$C$500,'NASA &amp; NUVO'!$M$1:$M$500)</f>
        <v>745</v>
      </c>
      <c r="H110" s="776"/>
      <c r="I110" s="1039"/>
      <c r="J110" s="1040"/>
      <c r="K110" s="1041"/>
      <c r="L110" s="778" t="s">
        <v>415</v>
      </c>
      <c r="M110" s="779">
        <v>3284</v>
      </c>
      <c r="N110" s="776" t="s">
        <v>471</v>
      </c>
      <c r="O110" s="779">
        <v>200</v>
      </c>
      <c r="P110" s="780">
        <v>217</v>
      </c>
      <c r="Q110" s="787"/>
      <c r="R110" s="788"/>
      <c r="S110" s="788"/>
    </row>
    <row r="111" spans="1:19" x14ac:dyDescent="0.2">
      <c r="A111" s="765" t="str">
        <f t="shared" si="4"/>
        <v>695125</v>
      </c>
      <c r="B111" s="773" t="str">
        <f t="shared" si="5"/>
        <v>6951</v>
      </c>
      <c r="C111" s="784" t="str">
        <f>_xlfn.XLOOKUP(E111,'NASA &amp; NUVO'!$C$1:$C$500,'NASA &amp; NUVO'!$B$1:$B$500)</f>
        <v>12901869510025  </v>
      </c>
      <c r="D111" s="775">
        <f>_xlfn.XLOOKUP(E111,'NASA &amp; NUVO'!$C$1:$C$500,'NASA &amp; NUVO'!$D$1:$D$500)</f>
        <v>25</v>
      </c>
      <c r="E111" s="869" t="s">
        <v>438</v>
      </c>
      <c r="F111" s="776"/>
      <c r="G111" s="777">
        <f>_xlfn.XLOOKUP(E111,'NASA &amp; NUVO'!$C$1:$C$500,'NASA &amp; NUVO'!$M$1:$M$500)</f>
        <v>2340</v>
      </c>
      <c r="H111" s="776"/>
      <c r="I111" s="1039"/>
      <c r="J111" s="1040"/>
      <c r="K111" s="1041"/>
      <c r="L111" s="778" t="s">
        <v>419</v>
      </c>
      <c r="M111" s="779">
        <v>6250</v>
      </c>
      <c r="N111" s="776" t="s">
        <v>434</v>
      </c>
      <c r="O111" s="779">
        <v>200</v>
      </c>
      <c r="P111" s="780">
        <v>700</v>
      </c>
      <c r="Q111" s="787"/>
      <c r="R111" s="788"/>
      <c r="S111" s="788"/>
    </row>
    <row r="112" spans="1:19" x14ac:dyDescent="0.2">
      <c r="A112" s="765" t="str">
        <f t="shared" si="4"/>
        <v>695225</v>
      </c>
      <c r="B112" s="773" t="str">
        <f t="shared" si="5"/>
        <v>6952</v>
      </c>
      <c r="C112" s="784" t="str">
        <f>_xlfn.XLOOKUP(E112,'NASA &amp; NUVO'!$C$1:$C$500,'NASA &amp; NUVO'!$B$1:$B$500)</f>
        <v>1290D269520025</v>
      </c>
      <c r="D112" s="775">
        <f>_xlfn.XLOOKUP(E112,'NASA &amp; NUVO'!$C$1:$C$500,'NASA &amp; NUVO'!$D$1:$D$500)</f>
        <v>25</v>
      </c>
      <c r="E112" s="869" t="s">
        <v>201</v>
      </c>
      <c r="F112" s="776"/>
      <c r="G112" s="777">
        <f>_xlfn.XLOOKUP(E112,'NASA &amp; NUVO'!$C$1:$C$500,'NASA &amp; NUVO'!$M$1:$M$500)</f>
        <v>4306</v>
      </c>
      <c r="H112" s="776"/>
      <c r="I112" s="1039"/>
      <c r="J112" s="1040"/>
      <c r="K112" s="1041"/>
      <c r="L112" s="778" t="s">
        <v>435</v>
      </c>
      <c r="M112" s="779">
        <v>21104</v>
      </c>
      <c r="N112" s="776" t="s">
        <v>170</v>
      </c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695325</v>
      </c>
      <c r="B113" s="773" t="str">
        <f t="shared" si="5"/>
        <v>6953</v>
      </c>
      <c r="C113" s="784" t="str">
        <f>_xlfn.XLOOKUP(E113,'NASA &amp; NUVO'!$C$1:$C$500,'NASA &amp; NUVO'!$B$1:$B$500)</f>
        <v>1290D269530025</v>
      </c>
      <c r="D113" s="775">
        <f>_xlfn.XLOOKUP(E113,'NASA &amp; NUVO'!$C$1:$C$500,'NASA &amp; NUVO'!$D$1:$D$500)</f>
        <v>25</v>
      </c>
      <c r="E113" s="869" t="s">
        <v>202</v>
      </c>
      <c r="F113" s="776"/>
      <c r="G113" s="777">
        <f>_xlfn.XLOOKUP(E113,'NASA &amp; NUVO'!$C$1:$C$500,'NASA &amp; NUVO'!$M$1:$M$500)</f>
        <v>1465</v>
      </c>
      <c r="H113" s="776"/>
      <c r="I113" s="1039"/>
      <c r="J113" s="1040"/>
      <c r="K113" s="1041"/>
      <c r="L113" s="778" t="s">
        <v>478</v>
      </c>
      <c r="M113" s="779">
        <v>12354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699125</v>
      </c>
      <c r="B114" s="773" t="str">
        <f t="shared" si="5"/>
        <v>6991</v>
      </c>
      <c r="C114" s="784" t="str">
        <f>_xlfn.XLOOKUP(E114,'NASA &amp; NUVO'!$C$1:$C$500,'NASA &amp; NUVO'!$B$1:$B$500)</f>
        <v>1290D269910025</v>
      </c>
      <c r="D114" s="775">
        <f>_xlfn.XLOOKUP(E114,'NASA &amp; NUVO'!$C$1:$C$500,'NASA &amp; NUVO'!$D$1:$D$500)</f>
        <v>25</v>
      </c>
      <c r="E114" s="869" t="s">
        <v>203</v>
      </c>
      <c r="F114" s="776"/>
      <c r="G114" s="777">
        <f>_xlfn.XLOOKUP(E114,'NASA &amp; NUVO'!$C$1:$C$500,'NASA &amp; NUVO'!$M$1:$M$500)</f>
        <v>417</v>
      </c>
      <c r="H114" s="789">
        <v>3.5</v>
      </c>
      <c r="I114" s="1039"/>
      <c r="J114" s="1040"/>
      <c r="K114" s="1041"/>
      <c r="L114" s="778" t="s">
        <v>479</v>
      </c>
      <c r="M114" s="779">
        <v>7296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699525</v>
      </c>
      <c r="B115" s="773" t="str">
        <f t="shared" si="5"/>
        <v>6995</v>
      </c>
      <c r="C115" s="784" t="str">
        <f>_xlfn.XLOOKUP(E115,'NASA &amp; NUVO'!$C$1:$C$500,'NASA &amp; NUVO'!$B$1:$B$500)</f>
        <v>1290K369950025</v>
      </c>
      <c r="D115" s="775">
        <f>_xlfn.XLOOKUP(E115,'NASA &amp; NUVO'!$C$1:$C$500,'NASA &amp; NUVO'!$D$1:$D$500)</f>
        <v>25</v>
      </c>
      <c r="E115" s="869" t="s">
        <v>204</v>
      </c>
      <c r="F115" s="776"/>
      <c r="G115" s="777">
        <f>_xlfn.XLOOKUP(E115,'NASA &amp; NUVO'!$C$1:$C$500,'NASA &amp; NUVO'!$M$1:$M$500)</f>
        <v>3244</v>
      </c>
      <c r="H115" s="789" t="s">
        <v>324</v>
      </c>
      <c r="I115" s="1039"/>
      <c r="J115" s="1040"/>
      <c r="K115" s="1041"/>
      <c r="L115" s="778" t="s">
        <v>381</v>
      </c>
      <c r="M115" s="779">
        <v>42614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965125</v>
      </c>
      <c r="B116" s="773" t="str">
        <f t="shared" si="5"/>
        <v>9651</v>
      </c>
      <c r="C116" s="774" t="str">
        <f>_xlfn.XLOOKUP(E116,'NASA &amp; NUVO'!$C$1:$C$500,'NASA &amp; NUVO'!$B$1:$B$500)</f>
        <v>1290D296510025</v>
      </c>
      <c r="D116" s="775">
        <f>_xlfn.XLOOKUP(E116,'NASA &amp; NUVO'!$C$1:$C$500,'NASA &amp; NUVO'!$D$1:$D$500)</f>
        <v>25</v>
      </c>
      <c r="E116" s="869" t="s">
        <v>136</v>
      </c>
      <c r="F116" s="776"/>
      <c r="G116" s="777">
        <f>_xlfn.XLOOKUP(E116,'NASA &amp; NUVO'!$C$1:$C$500,'NASA &amp; NUVO'!$M$1:$M$500)</f>
        <v>80</v>
      </c>
      <c r="H116" s="776"/>
      <c r="I116" s="1039"/>
      <c r="J116" s="1040"/>
      <c r="K116" s="1041"/>
      <c r="L116" s="778" t="s">
        <v>521</v>
      </c>
      <c r="M116" s="779">
        <v>9725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965225</v>
      </c>
      <c r="B117" s="773" t="str">
        <f t="shared" si="5"/>
        <v>9652</v>
      </c>
      <c r="C117" s="774" t="str">
        <f>_xlfn.XLOOKUP(E117,'NASA &amp; NUVO'!$C$1:$C$500,'NASA &amp; NUVO'!$B$1:$B$500)</f>
        <v>1290D296520025</v>
      </c>
      <c r="D117" s="775">
        <f>_xlfn.XLOOKUP(E117,'NASA &amp; NUVO'!$C$1:$C$500,'NASA &amp; NUVO'!$D$1:$D$500)</f>
        <v>25</v>
      </c>
      <c r="E117" s="869" t="s">
        <v>138</v>
      </c>
      <c r="F117" s="776"/>
      <c r="G117" s="777">
        <f>_xlfn.XLOOKUP(E117,'NASA &amp; NUVO'!$C$1:$C$500,'NASA &amp; NUVO'!$M$1:$M$500)</f>
        <v>2170</v>
      </c>
      <c r="H117" s="776"/>
      <c r="I117" s="1039"/>
      <c r="J117" s="1040"/>
      <c r="K117" s="1041"/>
      <c r="L117" s="778" t="s">
        <v>375</v>
      </c>
      <c r="M117" s="779">
        <v>29994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9652S25</v>
      </c>
      <c r="B118" s="773" t="str">
        <f t="shared" si="5"/>
        <v>9652S</v>
      </c>
      <c r="C118" s="774" t="str">
        <f>_xlfn.XLOOKUP(E118,'NASA &amp; NUVO'!$C$1:$C$500,'NASA &amp; NUVO'!$B$1:$B$500)</f>
        <v>1290D296521925</v>
      </c>
      <c r="D118" s="775">
        <f>_xlfn.XLOOKUP(E118,'NASA &amp; NUVO'!$C$1:$C$500,'NASA &amp; NUVO'!$D$1:$D$500)</f>
        <v>25</v>
      </c>
      <c r="E118" s="795" t="s">
        <v>140</v>
      </c>
      <c r="F118" s="776"/>
      <c r="G118" s="777">
        <f>_xlfn.XLOOKUP(E118,'NASA &amp; NUVO'!$C$1:$C$500,'NASA &amp; NUVO'!$M$1:$M$500)</f>
        <v>2529</v>
      </c>
      <c r="H118" s="776" t="s">
        <v>313</v>
      </c>
      <c r="I118" s="1039"/>
      <c r="J118" s="1040"/>
      <c r="K118" s="1041"/>
      <c r="L118" s="778" t="s">
        <v>386</v>
      </c>
      <c r="M118" s="779">
        <v>3864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966625</v>
      </c>
      <c r="B119" s="773" t="str">
        <f t="shared" si="5"/>
        <v>9666</v>
      </c>
      <c r="C119" s="774" t="str">
        <f>_xlfn.XLOOKUP(E119,'NASA &amp; NUVO'!$C$1:$C$500,'NASA &amp; NUVO'!$B$1:$B$500)</f>
        <v>1290D296660025</v>
      </c>
      <c r="D119" s="775">
        <f>_xlfn.XLOOKUP(E119,'NASA &amp; NUVO'!$C$1:$C$500,'NASA &amp; NUVO'!$D$1:$D$500)</f>
        <v>25</v>
      </c>
      <c r="E119" s="795" t="s">
        <v>55</v>
      </c>
      <c r="F119" s="776"/>
      <c r="G119" s="777">
        <f>_xlfn.XLOOKUP(E119,'NASA &amp; NUVO'!$C$1:$C$500,'NASA &amp; NUVO'!$M$1:$M$500)</f>
        <v>96</v>
      </c>
      <c r="H119" s="776" t="s">
        <v>313</v>
      </c>
      <c r="I119" s="1039"/>
      <c r="J119" s="1040"/>
      <c r="K119" s="1041"/>
      <c r="L119" s="778" t="s">
        <v>392</v>
      </c>
      <c r="M119" s="779">
        <v>6881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966725</v>
      </c>
      <c r="B120" s="773" t="str">
        <f t="shared" si="5"/>
        <v>9667</v>
      </c>
      <c r="C120" s="774" t="str">
        <f>_xlfn.XLOOKUP(E120,'NASA &amp; NUVO'!$C$1:$C$500,'NASA &amp; NUVO'!$B$1:$B$500)</f>
        <v>1290D296670025</v>
      </c>
      <c r="D120" s="775">
        <f>_xlfn.XLOOKUP(E120,'NASA &amp; NUVO'!$C$1:$C$500,'NASA &amp; NUVO'!$D$1:$D$500)</f>
        <v>25</v>
      </c>
      <c r="E120" s="796" t="s">
        <v>142</v>
      </c>
      <c r="F120" s="776"/>
      <c r="G120" s="777">
        <f>_xlfn.XLOOKUP(E120,'NASA &amp; NUVO'!$C$1:$C$500,'NASA &amp; NUVO'!$M$1:$M$500)</f>
        <v>55</v>
      </c>
      <c r="H120" s="776" t="s">
        <v>313</v>
      </c>
      <c r="I120" s="1039"/>
      <c r="J120" s="1040"/>
      <c r="K120" s="1041"/>
      <c r="L120" s="778" t="s">
        <v>396</v>
      </c>
      <c r="M120" s="779">
        <v>2825</v>
      </c>
      <c r="N120" s="776"/>
      <c r="O120" s="779"/>
      <c r="P120" s="780"/>
      <c r="Q120" s="787"/>
      <c r="R120" s="788"/>
      <c r="S120" s="788"/>
    </row>
    <row r="121" spans="1:19" ht="20.25" x14ac:dyDescent="0.2">
      <c r="A121" s="765" t="str">
        <f t="shared" si="4"/>
        <v/>
      </c>
      <c r="B121" s="773" t="str">
        <f t="shared" si="5"/>
        <v/>
      </c>
      <c r="C121" s="774"/>
      <c r="E121" s="863" t="s">
        <v>193</v>
      </c>
      <c r="F121" s="776"/>
      <c r="G121" s="777"/>
      <c r="H121" s="776" t="s">
        <v>332</v>
      </c>
      <c r="I121" s="1039"/>
      <c r="J121" s="1040"/>
      <c r="K121" s="1041"/>
      <c r="L121" s="778" t="s">
        <v>402</v>
      </c>
      <c r="M121" s="779">
        <v>8870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>510NF50</v>
      </c>
      <c r="B122" s="773" t="str">
        <f t="shared" si="5"/>
        <v>510NF</v>
      </c>
      <c r="C122" s="774" t="str">
        <f>_xlfn.XLOOKUP(E122,FARM!$C$1:$C$500,FARM!$B$1:$B$500)</f>
        <v>1290BU05101450</v>
      </c>
      <c r="D122" s="775">
        <f>_xlfn.XLOOKUP(E122,FARM!$C$1:$C$500,FARM!$D$1:$D$500)</f>
        <v>50</v>
      </c>
      <c r="E122" s="863" t="s">
        <v>280</v>
      </c>
      <c r="F122" s="776"/>
      <c r="G122" s="777">
        <f>_xlfn.XLOOKUP(E122,FARM!$C$1:$C$500,FARM!$M$1:$M$500)</f>
        <v>3511</v>
      </c>
      <c r="H122" s="776" t="s">
        <v>313</v>
      </c>
      <c r="I122" s="1039"/>
      <c r="J122" s="1040"/>
      <c r="K122" s="1041"/>
      <c r="L122" s="778"/>
      <c r="O122" s="780"/>
      <c r="P122" s="780"/>
      <c r="Q122" s="787"/>
      <c r="R122" s="788"/>
      <c r="S122" s="788"/>
    </row>
    <row r="123" spans="1:19" ht="20.25" x14ac:dyDescent="0.2">
      <c r="A123" s="765" t="str">
        <f t="shared" si="4"/>
        <v>511ANF50</v>
      </c>
      <c r="B123" s="773" t="str">
        <f t="shared" si="5"/>
        <v>511ANF</v>
      </c>
      <c r="C123" s="774" t="str">
        <f>_xlfn.XLOOKUP(E123,FARM!$C$1:$C$500,FARM!$B$1:$B$500)</f>
        <v>1290BU05116950</v>
      </c>
      <c r="D123" s="775">
        <f>_xlfn.XLOOKUP(E123,FARM!$C$1:$C$500,FARM!$D$1:$D$500)</f>
        <v>50</v>
      </c>
      <c r="E123" s="863" t="s">
        <v>281</v>
      </c>
      <c r="F123" s="776"/>
      <c r="G123" s="777">
        <f>_xlfn.XLOOKUP(E123,FARM!$C$1:$C$500,FARM!$M$1:$M$500)</f>
        <v>3707</v>
      </c>
      <c r="H123" s="776" t="s">
        <v>313</v>
      </c>
      <c r="I123" s="1039"/>
      <c r="J123" s="1040"/>
      <c r="K123" s="1041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511NF50</v>
      </c>
      <c r="B124" s="773" t="str">
        <f t="shared" si="5"/>
        <v>511NF</v>
      </c>
      <c r="C124" s="774" t="str">
        <f>_xlfn.XLOOKUP(E124,FARM!$C$1:$C$500,FARM!$B$1:$B$500)</f>
        <v>1290BT05111450</v>
      </c>
      <c r="D124" s="775">
        <f>_xlfn.XLOOKUP(E124,FARM!$C$1:$C$500,FARM!$D$1:$D$500)</f>
        <v>50</v>
      </c>
      <c r="E124" s="796" t="s">
        <v>214</v>
      </c>
      <c r="F124" s="776"/>
      <c r="G124" s="777">
        <f>_xlfn.XLOOKUP(E124,FARM!$C$1:$C$500,FARM!$M$1:$M$500)</f>
        <v>17500</v>
      </c>
      <c r="H124" s="776" t="s">
        <v>313</v>
      </c>
      <c r="I124" s="1039"/>
      <c r="J124" s="1040"/>
      <c r="K124" s="1041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513F50</v>
      </c>
      <c r="B125" s="773" t="str">
        <f t="shared" si="5"/>
        <v>513F</v>
      </c>
      <c r="C125" s="774" t="str">
        <f>_xlfn.XLOOKUP(E125,FARM!$C$1:$C$500,FARM!$B$1:$B$500)</f>
        <v>1290BT05130050</v>
      </c>
      <c r="D125" s="775">
        <f>_xlfn.XLOOKUP(E125,FARM!$C$1:$C$500,FARM!$D$1:$D$500)</f>
        <v>50</v>
      </c>
      <c r="E125" s="796" t="s">
        <v>215</v>
      </c>
      <c r="F125" s="776"/>
      <c r="G125" s="777">
        <f>_xlfn.XLOOKUP(E125,FARM!$C$1:$C$500,FARM!$M$1:$M$500)</f>
        <v>8035</v>
      </c>
      <c r="H125" s="776"/>
      <c r="I125" s="1039"/>
      <c r="J125" s="1040"/>
      <c r="K125" s="1041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540F50</v>
      </c>
      <c r="B126" s="773" t="str">
        <f t="shared" si="5"/>
        <v>540F</v>
      </c>
      <c r="C126" s="774" t="str">
        <f>_xlfn.XLOOKUP(E126,FARM!$C$1:$C$500,FARM!$B$1:$B$500)</f>
        <v>1290BT05400050</v>
      </c>
      <c r="D126" s="775">
        <f>_xlfn.XLOOKUP(E126,FARM!$C$1:$C$500,FARM!$D$1:$D$500)</f>
        <v>50</v>
      </c>
      <c r="E126" s="796" t="s">
        <v>228</v>
      </c>
      <c r="F126" s="776"/>
      <c r="G126" s="777">
        <f>_xlfn.XLOOKUP(E126,FARM!$C$1:$C$500,FARM!$M$1:$M$500)</f>
        <v>5307</v>
      </c>
      <c r="H126" s="776"/>
      <c r="I126" s="1039"/>
      <c r="J126" s="1040"/>
      <c r="K126" s="1041"/>
      <c r="L126" s="778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548F50</v>
      </c>
      <c r="B127" s="773" t="str">
        <f t="shared" si="5"/>
        <v>548F</v>
      </c>
      <c r="C127" s="774" t="str">
        <f>_xlfn.XLOOKUP(E127,FARM!$C$1:$C$500,FARM!$B$1:$B$500)</f>
        <v>1290BT05480050</v>
      </c>
      <c r="D127" s="775">
        <f>_xlfn.XLOOKUP(E127,FARM!$C$1:$C$500,FARM!$D$1:$D$500)</f>
        <v>50</v>
      </c>
      <c r="E127" s="796" t="s">
        <v>279</v>
      </c>
      <c r="F127" s="776"/>
      <c r="G127" s="777">
        <f>_xlfn.XLOOKUP(E127,FARM!$C$1:$C$500,FARM!$M$1:$M$500)</f>
        <v>3284</v>
      </c>
      <c r="H127" s="776"/>
      <c r="I127" s="1039"/>
      <c r="J127" s="1040"/>
      <c r="K127" s="1041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549F50</v>
      </c>
      <c r="B128" s="773" t="str">
        <f t="shared" si="5"/>
        <v>549F</v>
      </c>
      <c r="C128" s="774" t="str">
        <f>_xlfn.XLOOKUP(E128,FARM!$C$1:$C$500,FARM!$B$1:$B$500)</f>
        <v>1290BT05490050</v>
      </c>
      <c r="D128" s="775">
        <f>_xlfn.XLOOKUP(E128,FARM!$C$1:$C$500,FARM!$D$1:$D$500)</f>
        <v>50</v>
      </c>
      <c r="E128" s="894" t="s">
        <v>277</v>
      </c>
      <c r="F128" s="776"/>
      <c r="G128" s="777">
        <f>_xlfn.XLOOKUP(E128,FARM!$C$1:$C$500,FARM!$M$1:$M$500)</f>
        <v>6250</v>
      </c>
      <c r="H128" s="776"/>
      <c r="I128" s="1042"/>
      <c r="J128" s="1043"/>
      <c r="K128" s="1044"/>
      <c r="L128" s="791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550SF50</v>
      </c>
      <c r="B129" s="773" t="str">
        <f t="shared" si="5"/>
        <v>550SF</v>
      </c>
      <c r="C129" s="774" t="str">
        <f>_xlfn.XLOOKUP(E129,FARM!$C$1:$C$500,FARM!$B$1:$B$500)</f>
        <v>1290BT05501950</v>
      </c>
      <c r="D129" s="775">
        <f>_xlfn.XLOOKUP(E129,FARM!$C$1:$C$500,FARM!$D$1:$D$500)</f>
        <v>50</v>
      </c>
      <c r="E129" s="894" t="s">
        <v>288</v>
      </c>
      <c r="G129" s="777">
        <f>_xlfn.XLOOKUP(E129,FARM!$C$1:$C$500,FARM!$M$1:$M$500)</f>
        <v>21104</v>
      </c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551F50</v>
      </c>
      <c r="B130" s="773" t="str">
        <f t="shared" ref="B130:B138" si="6">IFERROR(TRIM(_xlfn.TEXTBEFORE(_xlfn.TEXTAFTER(E130, "-"), "-")),"")</f>
        <v>551F</v>
      </c>
      <c r="C130" s="774" t="str">
        <f>_xlfn.XLOOKUP(E130,FARM!$C$1:$C$500,FARM!$B$1:$B$500)</f>
        <v>1290BT05510050</v>
      </c>
      <c r="D130" s="775">
        <f>_xlfn.XLOOKUP(E130,FARM!$C$1:$C$500,FARM!$D$1:$D$500)</f>
        <v>50</v>
      </c>
      <c r="E130" s="894" t="s">
        <v>216</v>
      </c>
      <c r="G130" s="777">
        <f>_xlfn.XLOOKUP(E130,FARM!$C$1:$C$500,FARM!$M$1:$M$500)</f>
        <v>12354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551GPF50</v>
      </c>
      <c r="B131" s="773" t="str">
        <f t="shared" si="6"/>
        <v>551GPF</v>
      </c>
      <c r="C131" s="784" t="str">
        <f>_xlfn.XLOOKUP(E131,FARM!$C$1:$C$500,FARM!$B$1:$B$500)</f>
        <v>1290BT05514950</v>
      </c>
      <c r="D131" s="775">
        <f>_xlfn.XLOOKUP(E131,FARM!$C$1:$C$500,FARM!$D$1:$D$500)</f>
        <v>50</v>
      </c>
      <c r="E131" s="894" t="s">
        <v>217</v>
      </c>
      <c r="F131" s="776"/>
      <c r="G131" s="777">
        <f>_xlfn.XLOOKUP(E131,FARM!$C$1:$C$500,FARM!$M$1:$M$500)</f>
        <v>7296</v>
      </c>
      <c r="I131" s="1034"/>
      <c r="J131" s="1034"/>
      <c r="K131" s="1034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552F50</v>
      </c>
      <c r="B132" s="773" t="str">
        <f t="shared" si="6"/>
        <v>552F</v>
      </c>
      <c r="C132" s="784" t="str">
        <f>_xlfn.XLOOKUP(E132,FARM!$C$1:$C$500,FARM!$B$1:$B$500)</f>
        <v>1290BT05520050</v>
      </c>
      <c r="D132" s="775">
        <f>_xlfn.XLOOKUP(E132,FARM!$C$1:$C$500,FARM!$D$1:$D$500)</f>
        <v>50</v>
      </c>
      <c r="E132" s="894" t="s">
        <v>218</v>
      </c>
      <c r="F132" s="776"/>
      <c r="G132" s="777">
        <f>_xlfn.XLOOKUP(E132,FARM!$C$1:$C$500,FARM!$M$1:$M$500)</f>
        <v>42614</v>
      </c>
      <c r="I132" s="1034"/>
      <c r="J132" s="1034"/>
      <c r="K132" s="1034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552WDF50</v>
      </c>
      <c r="B133" s="773" t="str">
        <f t="shared" si="6"/>
        <v>552WDF</v>
      </c>
      <c r="C133" s="784" t="str">
        <f>_xlfn.XLOOKUP(E133,FARM!$C$1:$C$500,FARM!$B$1:$B$500)</f>
        <v>1290BT05528450</v>
      </c>
      <c r="D133" s="775">
        <f>_xlfn.XLOOKUP(E133,FARM!$C$1:$C$500,FARM!$D$1:$D$500)</f>
        <v>50</v>
      </c>
      <c r="E133" s="894" t="s">
        <v>513</v>
      </c>
      <c r="F133" s="776"/>
      <c r="G133" s="777">
        <f>_xlfn.XLOOKUP(E133,FARM!$C$1:$C$500,FARM!$M$1:$M$500)</f>
        <v>9725</v>
      </c>
      <c r="I133" s="1034"/>
      <c r="J133" s="1034"/>
      <c r="K133" s="1034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552SF50</v>
      </c>
      <c r="B134" s="773" t="str">
        <f t="shared" si="6"/>
        <v>552SF</v>
      </c>
      <c r="C134" s="784" t="str">
        <f>_xlfn.XLOOKUP(E134,FARM!$C$1:$C$500,FARM!$B$1:$B$500)</f>
        <v>1290BT05521950</v>
      </c>
      <c r="D134" s="775">
        <f>_xlfn.XLOOKUP(E134,FARM!$C$1:$C$500,FARM!$D$1:$D$500)</f>
        <v>50</v>
      </c>
      <c r="E134" s="894" t="s">
        <v>219</v>
      </c>
      <c r="F134" s="776"/>
      <c r="G134" s="777">
        <f>_xlfn.XLOOKUP(E134,FARM!$C$1:$C$500,FARM!$M$1:$M$500)</f>
        <v>29994</v>
      </c>
      <c r="I134" s="1034"/>
      <c r="J134" s="1034"/>
      <c r="K134" s="1034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553MF50</v>
      </c>
      <c r="B135" s="773" t="str">
        <f t="shared" si="6"/>
        <v>553MF</v>
      </c>
      <c r="C135" s="784" t="str">
        <f>_xlfn.XLOOKUP(E135,FARM!$C$1:$C$500,FARM!$B$1:$B$500)</f>
        <v>1290BT05531350</v>
      </c>
      <c r="D135" s="775">
        <f>_xlfn.XLOOKUP(E135,FARM!$C$1:$C$500,FARM!$D$1:$D$500)</f>
        <v>50</v>
      </c>
      <c r="E135" s="894" t="s">
        <v>344</v>
      </c>
      <c r="F135" s="776"/>
      <c r="G135" s="777">
        <f>_xlfn.XLOOKUP(E135,FARM!$C$1:$C$500,FARM!$M$1:$M$500)</f>
        <v>3864</v>
      </c>
      <c r="I135" s="1034"/>
      <c r="J135" s="1034"/>
      <c r="K135" s="1034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562PF50</v>
      </c>
      <c r="B136" s="773" t="str">
        <f t="shared" si="6"/>
        <v>562PF</v>
      </c>
      <c r="C136" s="784" t="str">
        <f>_xlfn.XLOOKUP(E136,FARM!$C$1:$C$500,FARM!$B$1:$B$500)</f>
        <v>1290BT05621650</v>
      </c>
      <c r="D136" s="775">
        <f>_xlfn.XLOOKUP(E136,FARM!$C$1:$C$500,FARM!$D$1:$D$500)</f>
        <v>50</v>
      </c>
      <c r="E136" s="894" t="s">
        <v>223</v>
      </c>
      <c r="F136" s="776"/>
      <c r="G136" s="777">
        <f>_xlfn.XLOOKUP(E136,FARM!$C$1:$C$500,FARM!$M$1:$M$500)</f>
        <v>6881</v>
      </c>
      <c r="I136" s="1034"/>
      <c r="J136" s="1034"/>
      <c r="K136" s="1034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566F50</v>
      </c>
      <c r="B137" s="773" t="str">
        <f t="shared" si="6"/>
        <v>566F</v>
      </c>
      <c r="C137" s="784" t="str">
        <f>_xlfn.XLOOKUP(E137,FARM!$C$1:$C$500,FARM!$B$1:$B$500)</f>
        <v>1290BT05660050</v>
      </c>
      <c r="D137" s="775">
        <f>_xlfn.XLOOKUP(E137,FARM!$C$1:$C$500,FARM!$D$1:$D$500)</f>
        <v>50</v>
      </c>
      <c r="E137" s="894" t="s">
        <v>224</v>
      </c>
      <c r="F137" s="776"/>
      <c r="G137" s="777">
        <f>_xlfn.XLOOKUP(E137,FARM!$C$1:$C$500,FARM!$M$1:$M$500)</f>
        <v>2825</v>
      </c>
      <c r="I137" s="1034"/>
      <c r="J137" s="1034"/>
      <c r="K137" s="1034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567SF50</v>
      </c>
      <c r="B138" s="773" t="str">
        <f t="shared" si="6"/>
        <v>567SF</v>
      </c>
      <c r="C138" s="784" t="str">
        <f>_xlfn.XLOOKUP(E138,FARM!$C$1:$C$500,FARM!$B$1:$B$500)</f>
        <v>1290BT05671950</v>
      </c>
      <c r="D138" s="775">
        <f>_xlfn.XLOOKUP(E138,FARM!$C$1:$C$500,FARM!$D$1:$D$500)</f>
        <v>50</v>
      </c>
      <c r="E138" s="894" t="s">
        <v>220</v>
      </c>
      <c r="F138" s="776"/>
      <c r="G138" s="777">
        <f>_xlfn.XLOOKUP(E138,FARM!$C$1:$C$500,FARM!$M$1:$M$500)</f>
        <v>8870</v>
      </c>
      <c r="I138" s="1034"/>
      <c r="J138" s="1034"/>
      <c r="K138" s="1034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>+B139&amp;D139</f>
        <v/>
      </c>
      <c r="B139" s="773"/>
      <c r="E139" s="894"/>
      <c r="F139" s="776"/>
      <c r="G139" s="777"/>
      <c r="I139" s="1034"/>
      <c r="J139" s="1034"/>
      <c r="K139" s="1034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894"/>
      <c r="F140" s="776"/>
      <c r="G140" s="777"/>
      <c r="I140" s="1034"/>
      <c r="J140" s="1034"/>
      <c r="K140" s="1034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275"/>
      <c r="F141" s="776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>+B143&amp;D143</f>
        <v/>
      </c>
      <c r="B143" s="773"/>
      <c r="E143" s="275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ref="A144" si="7">+B144&amp;D144</f>
        <v/>
      </c>
      <c r="B144" s="773"/>
      <c r="E144" s="275"/>
      <c r="F144" s="776"/>
      <c r="G144" s="777"/>
      <c r="I144" s="1034"/>
      <c r="J144" s="1034"/>
      <c r="K144" s="1034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:A190" si="8">+B145&amp;D145</f>
        <v/>
      </c>
      <c r="B145" s="773"/>
      <c r="E145" s="309"/>
      <c r="F145" s="776"/>
      <c r="G145" s="777">
        <f>_xlfn.XLOOKUP(E145,FARM!$C$1:$C$501,FARM!$M$1:$M$501)</f>
        <v>0</v>
      </c>
      <c r="I145" s="1034"/>
      <c r="J145" s="1034"/>
      <c r="K145" s="1034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34"/>
      <c r="J146" s="1034"/>
      <c r="K146" s="1034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1034"/>
      <c r="J147" s="1034"/>
      <c r="K147" s="1034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1034"/>
      <c r="J148" s="1034"/>
      <c r="K148" s="1034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F149" s="776"/>
      <c r="G149" s="777"/>
      <c r="I149" s="777"/>
      <c r="L149" s="777"/>
      <c r="M149" s="779"/>
      <c r="N149" s="779"/>
      <c r="O149" s="780"/>
      <c r="P149" s="780"/>
      <c r="Q149" s="787"/>
      <c r="R149" s="788"/>
      <c r="S149" s="788"/>
    </row>
    <row r="150" spans="1:19" ht="20.25" x14ac:dyDescent="0.2">
      <c r="A150" s="765" t="str">
        <f t="shared" si="8"/>
        <v/>
      </c>
      <c r="B150" s="773" t="str">
        <f t="shared" ref="B150:B164" si="9">IFERROR(TRIM(_xlfn.TEXTBEFORE(_xlfn.TEXTAFTER(E150, "-"), "-")),"")</f>
        <v/>
      </c>
      <c r="E150" s="797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34"/>
      <c r="J152" s="1034"/>
      <c r="K152" s="1034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4"/>
      <c r="J153" s="1034"/>
      <c r="K153" s="1034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4"/>
      <c r="J154" s="1034"/>
      <c r="K154" s="1034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4"/>
      <c r="J155" s="1034"/>
      <c r="K155" s="1034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4"/>
      <c r="J156" s="1034"/>
      <c r="K156" s="1034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4"/>
      <c r="J157" s="1034"/>
      <c r="K157" s="1034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1034"/>
      <c r="J158" s="1034"/>
      <c r="K158" s="1034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1034"/>
      <c r="J159" s="1034"/>
      <c r="K159" s="1034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799"/>
      <c r="E160" s="798"/>
      <c r="F160" s="776"/>
      <c r="G160" s="777"/>
      <c r="I160" s="1034"/>
      <c r="J160" s="1034"/>
      <c r="K160" s="1034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34"/>
      <c r="J161" s="1034"/>
      <c r="K161" s="1034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4"/>
      <c r="J162" s="1034"/>
      <c r="K162" s="1034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1034"/>
      <c r="J163" s="1034"/>
      <c r="K163" s="1034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1034"/>
      <c r="J164" s="1034"/>
      <c r="K164" s="1034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800"/>
      <c r="E165" s="798"/>
      <c r="F165" s="776"/>
      <c r="G165" s="777"/>
      <c r="I165" s="1034"/>
      <c r="J165" s="1034"/>
      <c r="K165" s="1034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799"/>
      <c r="E166" s="798"/>
      <c r="F166" s="776"/>
      <c r="G166" s="777"/>
      <c r="I166" s="1034"/>
      <c r="J166" s="1034"/>
      <c r="K166" s="1034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1034"/>
      <c r="J167" s="1034"/>
      <c r="K167" s="1034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E168" s="798"/>
      <c r="F168" s="776"/>
      <c r="G168" s="777"/>
      <c r="I168" s="1034"/>
      <c r="J168" s="1034"/>
      <c r="K168" s="1034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F169" s="776"/>
      <c r="G169" s="777"/>
      <c r="I169" s="777"/>
      <c r="L169" s="777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776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802"/>
      <c r="F172" s="777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3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E176" s="803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799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800"/>
    </row>
    <row r="179" spans="1:19" x14ac:dyDescent="0.2">
      <c r="A179" s="765" t="str">
        <f t="shared" si="8"/>
        <v/>
      </c>
      <c r="C179" s="804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5"/>
    </row>
    <row r="183" spans="1:19" x14ac:dyDescent="0.2">
      <c r="A183" s="765" t="str">
        <f t="shared" si="8"/>
        <v/>
      </c>
      <c r="C183" s="804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7" spans="1:1" x14ac:dyDescent="0.2">
      <c r="A197" s="765" t="str">
        <f t="shared" ref="A197:A260" si="10">+B197&amp;D197</f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ref="A261:A287" si="11">+B261&amp;D261</f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</sheetData>
  <mergeCells count="6">
    <mergeCell ref="I152:K168"/>
    <mergeCell ref="I2:K70"/>
    <mergeCell ref="I73:K91"/>
    <mergeCell ref="I94:K128"/>
    <mergeCell ref="I131:K140"/>
    <mergeCell ref="I144:K148"/>
  </mergeCells>
  <phoneticPr fontId="50" type="noConversion"/>
  <conditionalFormatting sqref="M2:M161">
    <cfRule type="cellIs" dxfId="2" priority="3" operator="lessThan">
      <formula>100</formula>
    </cfRule>
    <cfRule type="cellIs" dxfId="1" priority="2" operator="between">
      <formula>500</formula>
      <formula>101</formula>
    </cfRule>
    <cfRule type="cellIs" dxfId="0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6" sqref="E6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353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535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2608</v>
      </c>
      <c r="E5" s="483">
        <v>200</v>
      </c>
      <c r="F5" s="483"/>
      <c r="G5" s="450">
        <f>D5+E5-F5</f>
        <v>2808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353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505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353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2695</v>
      </c>
      <c r="E10" s="451">
        <f t="shared" ref="E10:G10" si="2">E5+E6</f>
        <v>200</v>
      </c>
      <c r="F10" s="451">
        <f t="shared" si="2"/>
        <v>0</v>
      </c>
      <c r="G10" s="451">
        <f t="shared" si="2"/>
        <v>2895</v>
      </c>
    </row>
    <row r="11" spans="1:28" ht="21.75" customHeight="1" x14ac:dyDescent="0.25">
      <c r="A11" s="1048"/>
      <c r="B11" s="1048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Q33" sqref="Q33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40020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1290E405100025</v>
      </c>
      <c r="C3" s="375" t="str">
        <f t="shared" ref="C3:C11" si="0">+D3&amp;E3</f>
        <v>51025</v>
      </c>
      <c r="D3" s="641" t="s">
        <v>594</v>
      </c>
      <c r="E3" s="625">
        <v>25</v>
      </c>
      <c r="F3" s="354" t="s">
        <v>595</v>
      </c>
      <c r="G3" s="354"/>
      <c r="H3" s="354"/>
      <c r="I3" s="626">
        <v>0</v>
      </c>
      <c r="J3" s="625">
        <v>0</v>
      </c>
      <c r="K3" s="626">
        <v>329</v>
      </c>
      <c r="L3" s="625">
        <v>8225</v>
      </c>
      <c r="M3" s="626">
        <v>0</v>
      </c>
      <c r="N3" s="625">
        <v>0</v>
      </c>
      <c r="O3" s="626">
        <v>329</v>
      </c>
      <c r="P3" s="625">
        <v>8225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1290D205110225</v>
      </c>
      <c r="C4" s="375" t="str">
        <f t="shared" si="0"/>
        <v>511B25</v>
      </c>
      <c r="D4" s="354" t="s">
        <v>572</v>
      </c>
      <c r="E4" s="625">
        <v>25</v>
      </c>
      <c r="F4" s="354" t="s">
        <v>573</v>
      </c>
      <c r="G4" s="354"/>
      <c r="H4" s="354"/>
      <c r="I4" s="626">
        <v>990</v>
      </c>
      <c r="J4" s="625">
        <v>24750</v>
      </c>
      <c r="K4" s="626">
        <v>990</v>
      </c>
      <c r="L4" s="625">
        <v>24750</v>
      </c>
      <c r="M4" s="626">
        <v>660</v>
      </c>
      <c r="N4" s="625">
        <v>16500</v>
      </c>
      <c r="O4" s="626">
        <v>2640</v>
      </c>
      <c r="P4" s="625">
        <v>66000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1290H605111925</v>
      </c>
      <c r="C5" s="375" t="str">
        <f t="shared" si="0"/>
        <v>511S25</v>
      </c>
      <c r="D5" s="354" t="s">
        <v>596</v>
      </c>
      <c r="E5" s="625">
        <v>25</v>
      </c>
      <c r="F5" s="354" t="s">
        <v>597</v>
      </c>
      <c r="G5" s="354"/>
      <c r="H5" s="354"/>
      <c r="I5" s="626">
        <v>0</v>
      </c>
      <c r="J5" s="625">
        <v>0</v>
      </c>
      <c r="K5" s="626">
        <v>297</v>
      </c>
      <c r="L5" s="625">
        <v>7425</v>
      </c>
      <c r="M5" s="626">
        <v>0</v>
      </c>
      <c r="N5" s="625">
        <v>0</v>
      </c>
      <c r="O5" s="626">
        <v>297</v>
      </c>
      <c r="P5" s="625">
        <v>7425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1290BU05116950</v>
      </c>
      <c r="C6" s="375" t="str">
        <f t="shared" si="0"/>
        <v>511ANF50</v>
      </c>
      <c r="D6" s="641" t="s">
        <v>598</v>
      </c>
      <c r="E6" s="625">
        <v>50</v>
      </c>
      <c r="F6" s="354" t="s">
        <v>599</v>
      </c>
      <c r="G6" s="354" t="s">
        <v>600</v>
      </c>
      <c r="H6" s="354"/>
      <c r="I6" s="626">
        <v>0</v>
      </c>
      <c r="J6" s="625">
        <v>0</v>
      </c>
      <c r="K6" s="626">
        <v>0</v>
      </c>
      <c r="L6" s="625">
        <v>0</v>
      </c>
      <c r="M6" s="626">
        <v>918</v>
      </c>
      <c r="N6" s="625">
        <v>45900</v>
      </c>
      <c r="O6" s="626">
        <v>918</v>
      </c>
      <c r="P6" s="625">
        <v>45900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1290D205240025</v>
      </c>
      <c r="C7" s="375" t="str">
        <f t="shared" si="0"/>
        <v>52425</v>
      </c>
      <c r="D7" s="354">
        <v>524</v>
      </c>
      <c r="E7" s="625">
        <v>25</v>
      </c>
      <c r="F7" s="354" t="s">
        <v>601</v>
      </c>
      <c r="G7" s="354"/>
      <c r="H7" s="354"/>
      <c r="I7" s="626">
        <v>332</v>
      </c>
      <c r="J7" s="625">
        <v>8300</v>
      </c>
      <c r="K7" s="626">
        <v>0</v>
      </c>
      <c r="L7" s="625">
        <v>0</v>
      </c>
      <c r="M7" s="626">
        <v>0</v>
      </c>
      <c r="N7" s="625">
        <v>0</v>
      </c>
      <c r="O7" s="626">
        <v>332</v>
      </c>
      <c r="P7" s="625">
        <v>8300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1290BT05400050</v>
      </c>
      <c r="C8" s="375" t="str">
        <f t="shared" si="0"/>
        <v>540F50</v>
      </c>
      <c r="D8" s="692" t="s">
        <v>602</v>
      </c>
      <c r="E8" s="625">
        <v>50</v>
      </c>
      <c r="F8" s="354" t="s">
        <v>603</v>
      </c>
      <c r="G8" s="354"/>
      <c r="H8" s="354"/>
      <c r="I8" s="626">
        <v>675</v>
      </c>
      <c r="J8" s="625">
        <v>33750</v>
      </c>
      <c r="K8" s="626">
        <v>0</v>
      </c>
      <c r="L8" s="625">
        <v>0</v>
      </c>
      <c r="M8" s="626">
        <v>0</v>
      </c>
      <c r="N8" s="625">
        <v>0</v>
      </c>
      <c r="O8" s="626">
        <v>675</v>
      </c>
      <c r="P8" s="625">
        <v>33750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1290BT05501950</v>
      </c>
      <c r="C9" s="375" t="str">
        <f t="shared" si="0"/>
        <v>550SF50</v>
      </c>
      <c r="D9" s="599" t="s">
        <v>580</v>
      </c>
      <c r="E9" s="625">
        <v>50</v>
      </c>
      <c r="F9" s="354" t="s">
        <v>581</v>
      </c>
      <c r="G9" s="354" t="s">
        <v>574</v>
      </c>
      <c r="H9" s="354"/>
      <c r="I9" s="626">
        <v>108</v>
      </c>
      <c r="J9" s="625">
        <v>5400</v>
      </c>
      <c r="K9" s="626">
        <v>86</v>
      </c>
      <c r="L9" s="625">
        <v>4300</v>
      </c>
      <c r="M9" s="626">
        <v>0</v>
      </c>
      <c r="N9" s="625">
        <v>0</v>
      </c>
      <c r="O9" s="626">
        <v>194</v>
      </c>
      <c r="P9" s="625">
        <v>9700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1290BT05501950</v>
      </c>
      <c r="C10" s="375" t="str">
        <f t="shared" si="0"/>
        <v>550SF50</v>
      </c>
      <c r="D10" s="599" t="s">
        <v>580</v>
      </c>
      <c r="E10" s="625">
        <v>50</v>
      </c>
      <c r="F10" s="354" t="s">
        <v>581</v>
      </c>
      <c r="G10" s="354" t="s">
        <v>541</v>
      </c>
      <c r="H10" s="354"/>
      <c r="I10" s="626">
        <v>1586</v>
      </c>
      <c r="J10" s="625">
        <v>79300</v>
      </c>
      <c r="K10" s="626">
        <v>0</v>
      </c>
      <c r="L10" s="625">
        <v>0</v>
      </c>
      <c r="M10" s="626">
        <v>2615</v>
      </c>
      <c r="N10" s="625">
        <v>130750</v>
      </c>
      <c r="O10" s="626">
        <v>4201</v>
      </c>
      <c r="P10" s="625">
        <v>210050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1290BT05510050</v>
      </c>
      <c r="C11" s="375" t="str">
        <f t="shared" si="0"/>
        <v>551F50</v>
      </c>
      <c r="D11" s="599" t="s">
        <v>561</v>
      </c>
      <c r="E11" s="625">
        <v>50</v>
      </c>
      <c r="F11" s="354" t="s">
        <v>562</v>
      </c>
      <c r="G11" s="354" t="s">
        <v>541</v>
      </c>
      <c r="H11" s="354"/>
      <c r="I11" s="626">
        <v>0</v>
      </c>
      <c r="J11" s="625">
        <v>0</v>
      </c>
      <c r="K11" s="626">
        <v>950</v>
      </c>
      <c r="L11" s="625">
        <v>47500</v>
      </c>
      <c r="M11" s="626">
        <v>0</v>
      </c>
      <c r="N11" s="625">
        <v>0</v>
      </c>
      <c r="O11" s="626">
        <v>950</v>
      </c>
      <c r="P11" s="625">
        <v>47500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1290BT05510050</v>
      </c>
      <c r="C12" s="375" t="str">
        <f t="shared" ref="C12:C13" si="1">+D12&amp;E12</f>
        <v>551F50</v>
      </c>
      <c r="D12" s="599" t="s">
        <v>561</v>
      </c>
      <c r="E12" s="625">
        <v>50</v>
      </c>
      <c r="F12" s="354" t="s">
        <v>562</v>
      </c>
      <c r="G12" s="354" t="s">
        <v>563</v>
      </c>
      <c r="H12" s="354"/>
      <c r="I12" s="626">
        <v>0</v>
      </c>
      <c r="J12" s="625">
        <v>0</v>
      </c>
      <c r="K12" s="626">
        <v>0</v>
      </c>
      <c r="L12" s="625">
        <v>0</v>
      </c>
      <c r="M12" s="626">
        <v>1371</v>
      </c>
      <c r="N12" s="625">
        <v>68550</v>
      </c>
      <c r="O12" s="626">
        <v>1371</v>
      </c>
      <c r="P12" s="625">
        <v>68550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1290B705511625</v>
      </c>
      <c r="C13" s="375" t="str">
        <f t="shared" si="1"/>
        <v>551Pro25</v>
      </c>
      <c r="D13" s="599" t="s">
        <v>604</v>
      </c>
      <c r="E13" s="625">
        <v>25</v>
      </c>
      <c r="F13" s="354" t="s">
        <v>605</v>
      </c>
      <c r="G13" s="354"/>
      <c r="H13" s="354"/>
      <c r="I13" s="626">
        <v>0</v>
      </c>
      <c r="J13" s="625">
        <v>0</v>
      </c>
      <c r="K13" s="626">
        <v>920</v>
      </c>
      <c r="L13" s="625">
        <v>23000</v>
      </c>
      <c r="M13" s="626">
        <v>0</v>
      </c>
      <c r="N13" s="625">
        <v>0</v>
      </c>
      <c r="O13" s="626">
        <v>920</v>
      </c>
      <c r="P13" s="625">
        <v>23000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1290D205511625</v>
      </c>
      <c r="C14" s="375" t="str">
        <f t="shared" ref="C14:C23" si="2">+D14&amp;E14</f>
        <v>551GP25</v>
      </c>
      <c r="D14" s="692" t="s">
        <v>606</v>
      </c>
      <c r="E14" s="625">
        <v>25</v>
      </c>
      <c r="F14" s="354" t="s">
        <v>607</v>
      </c>
      <c r="G14" s="354"/>
      <c r="H14" s="354"/>
      <c r="I14" s="626">
        <v>368</v>
      </c>
      <c r="J14" s="625">
        <v>9200</v>
      </c>
      <c r="K14" s="626">
        <v>0</v>
      </c>
      <c r="L14" s="625">
        <v>0</v>
      </c>
      <c r="M14" s="626">
        <v>0</v>
      </c>
      <c r="N14" s="625">
        <v>0</v>
      </c>
      <c r="O14" s="626">
        <v>368</v>
      </c>
      <c r="P14" s="625">
        <v>9200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1290BT05514950</v>
      </c>
      <c r="C15" s="375" t="str">
        <f t="shared" si="2"/>
        <v>551GPF50</v>
      </c>
      <c r="D15" s="599" t="s">
        <v>608</v>
      </c>
      <c r="E15" s="625">
        <v>50</v>
      </c>
      <c r="F15" s="354" t="s">
        <v>609</v>
      </c>
      <c r="G15" s="354" t="s">
        <v>610</v>
      </c>
      <c r="H15" s="354"/>
      <c r="I15" s="626">
        <v>0</v>
      </c>
      <c r="J15" s="625">
        <v>0</v>
      </c>
      <c r="K15" s="626">
        <v>0</v>
      </c>
      <c r="L15" s="625">
        <v>0</v>
      </c>
      <c r="M15" s="626">
        <v>1518</v>
      </c>
      <c r="N15" s="625">
        <v>75900</v>
      </c>
      <c r="O15" s="626">
        <v>1518</v>
      </c>
      <c r="P15" s="625">
        <v>75900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1290D205520025</v>
      </c>
      <c r="C16" s="375" t="str">
        <f t="shared" si="2"/>
        <v>55225</v>
      </c>
      <c r="D16" s="599" t="s">
        <v>611</v>
      </c>
      <c r="E16" s="625">
        <v>25</v>
      </c>
      <c r="F16" s="354" t="s">
        <v>612</v>
      </c>
      <c r="G16" s="354"/>
      <c r="H16" s="354"/>
      <c r="I16" s="626">
        <v>0</v>
      </c>
      <c r="J16" s="625">
        <v>0</v>
      </c>
      <c r="K16" s="626">
        <v>0</v>
      </c>
      <c r="L16" s="625">
        <v>0</v>
      </c>
      <c r="M16" s="626">
        <v>2449</v>
      </c>
      <c r="N16" s="625">
        <v>61225</v>
      </c>
      <c r="O16" s="626">
        <v>2449</v>
      </c>
      <c r="P16" s="625">
        <v>61225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1290BT05520050</v>
      </c>
      <c r="C17" s="375" t="str">
        <f t="shared" si="2"/>
        <v>552F50</v>
      </c>
      <c r="D17" s="599" t="s">
        <v>158</v>
      </c>
      <c r="E17" s="625">
        <v>50</v>
      </c>
      <c r="F17" s="354" t="s">
        <v>582</v>
      </c>
      <c r="G17" s="354"/>
      <c r="H17" s="354"/>
      <c r="I17" s="626">
        <v>0</v>
      </c>
      <c r="J17" s="625">
        <v>0</v>
      </c>
      <c r="K17" s="626">
        <v>1440</v>
      </c>
      <c r="L17" s="625">
        <v>72000</v>
      </c>
      <c r="M17" s="626">
        <v>0</v>
      </c>
      <c r="N17" s="625">
        <v>0</v>
      </c>
      <c r="O17" s="626">
        <v>1440</v>
      </c>
      <c r="P17" s="625">
        <v>72000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1290BT05520050</v>
      </c>
      <c r="C18" s="375" t="str">
        <f t="shared" si="2"/>
        <v>552F50</v>
      </c>
      <c r="D18" s="599" t="s">
        <v>158</v>
      </c>
      <c r="E18" s="625">
        <v>50</v>
      </c>
      <c r="F18" s="354" t="s">
        <v>559</v>
      </c>
      <c r="G18" s="354" t="s">
        <v>560</v>
      </c>
      <c r="H18" s="354"/>
      <c r="I18" s="626">
        <v>3294</v>
      </c>
      <c r="J18" s="625">
        <v>164700</v>
      </c>
      <c r="K18" s="626">
        <v>1235</v>
      </c>
      <c r="L18" s="625">
        <v>61750</v>
      </c>
      <c r="M18" s="626">
        <v>1763</v>
      </c>
      <c r="N18" s="625">
        <v>88150</v>
      </c>
      <c r="O18" s="626">
        <v>6292</v>
      </c>
      <c r="P18" s="625">
        <v>314600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1290D205521325</v>
      </c>
      <c r="C19" s="375" t="str">
        <f t="shared" si="2"/>
        <v>552M25</v>
      </c>
      <c r="D19" s="692" t="s">
        <v>613</v>
      </c>
      <c r="E19" s="625">
        <v>25</v>
      </c>
      <c r="F19" s="354" t="s">
        <v>614</v>
      </c>
      <c r="G19" s="354"/>
      <c r="H19" s="354"/>
      <c r="I19" s="626">
        <v>0</v>
      </c>
      <c r="J19" s="625">
        <v>0</v>
      </c>
      <c r="K19" s="626">
        <v>976</v>
      </c>
      <c r="L19" s="625">
        <v>24400</v>
      </c>
      <c r="M19" s="626">
        <v>0</v>
      </c>
      <c r="N19" s="625">
        <v>0</v>
      </c>
      <c r="O19" s="626">
        <v>976</v>
      </c>
      <c r="P19" s="625">
        <v>24400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1290D205521925</v>
      </c>
      <c r="C20" s="375" t="str">
        <f t="shared" si="2"/>
        <v>552S25</v>
      </c>
      <c r="D20" s="599" t="s">
        <v>575</v>
      </c>
      <c r="E20" s="625">
        <v>25</v>
      </c>
      <c r="F20" s="354" t="s">
        <v>576</v>
      </c>
      <c r="G20" s="354"/>
      <c r="H20" s="354"/>
      <c r="I20" s="626">
        <v>1077</v>
      </c>
      <c r="J20" s="625">
        <v>26925</v>
      </c>
      <c r="K20" s="626">
        <v>0</v>
      </c>
      <c r="L20" s="625">
        <v>0</v>
      </c>
      <c r="M20" s="626">
        <v>0</v>
      </c>
      <c r="N20" s="625">
        <v>0</v>
      </c>
      <c r="O20" s="626">
        <v>1077</v>
      </c>
      <c r="P20" s="625">
        <v>26925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1290BT05521950</v>
      </c>
      <c r="C21" s="375" t="str">
        <f t="shared" si="2"/>
        <v>552SF50</v>
      </c>
      <c r="D21" s="599" t="s">
        <v>511</v>
      </c>
      <c r="E21" s="625">
        <v>50</v>
      </c>
      <c r="F21" s="354" t="s">
        <v>564</v>
      </c>
      <c r="G21" s="354" t="s">
        <v>560</v>
      </c>
      <c r="H21" s="354"/>
      <c r="I21" s="626">
        <v>2823</v>
      </c>
      <c r="J21" s="625">
        <v>141150</v>
      </c>
      <c r="K21" s="626">
        <v>648</v>
      </c>
      <c r="L21" s="625">
        <v>32400</v>
      </c>
      <c r="M21" s="626">
        <v>988</v>
      </c>
      <c r="N21" s="625">
        <v>49400</v>
      </c>
      <c r="O21" s="626">
        <v>4459</v>
      </c>
      <c r="P21" s="625">
        <v>222950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1290BT05531350</v>
      </c>
      <c r="C22" s="375" t="str">
        <f t="shared" si="2"/>
        <v>553MF50</v>
      </c>
      <c r="D22" s="599" t="s">
        <v>565</v>
      </c>
      <c r="E22" s="625">
        <v>50</v>
      </c>
      <c r="F22" s="354" t="s">
        <v>566</v>
      </c>
      <c r="G22" s="354"/>
      <c r="H22" s="354"/>
      <c r="I22" s="626">
        <v>1458</v>
      </c>
      <c r="J22" s="625">
        <v>72900</v>
      </c>
      <c r="K22" s="626">
        <v>1291</v>
      </c>
      <c r="L22" s="625">
        <v>64550</v>
      </c>
      <c r="M22" s="626">
        <v>0</v>
      </c>
      <c r="N22" s="625">
        <v>0</v>
      </c>
      <c r="O22" s="626">
        <v>2749</v>
      </c>
      <c r="P22" s="625">
        <v>137450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1290D205531925</v>
      </c>
      <c r="C23" s="375" t="str">
        <f t="shared" si="2"/>
        <v>553S25</v>
      </c>
      <c r="D23" s="599" t="s">
        <v>615</v>
      </c>
      <c r="E23" s="625">
        <v>25</v>
      </c>
      <c r="F23" s="354" t="s">
        <v>616</v>
      </c>
      <c r="G23" s="354"/>
      <c r="H23" s="354"/>
      <c r="I23" s="626">
        <v>0</v>
      </c>
      <c r="J23" s="625">
        <v>0</v>
      </c>
      <c r="K23" s="626">
        <v>0</v>
      </c>
      <c r="L23" s="625">
        <v>0</v>
      </c>
      <c r="M23" s="626">
        <v>550</v>
      </c>
      <c r="N23" s="625">
        <v>13750</v>
      </c>
      <c r="O23" s="626">
        <v>550</v>
      </c>
      <c r="P23" s="625">
        <v>13750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1290D205660025</v>
      </c>
      <c r="C24" s="375" t="str">
        <f t="shared" ref="C24:C29" si="3">+D24&amp;E24</f>
        <v>56625</v>
      </c>
      <c r="D24" s="692" t="s">
        <v>617</v>
      </c>
      <c r="E24" s="625">
        <v>25</v>
      </c>
      <c r="F24" s="354" t="s">
        <v>618</v>
      </c>
      <c r="G24" s="354"/>
      <c r="H24" s="354"/>
      <c r="I24" s="626">
        <v>201</v>
      </c>
      <c r="J24" s="625">
        <v>5025</v>
      </c>
      <c r="K24" s="626">
        <v>0</v>
      </c>
      <c r="L24" s="625">
        <v>0</v>
      </c>
      <c r="M24" s="626">
        <v>0</v>
      </c>
      <c r="N24" s="625">
        <v>0</v>
      </c>
      <c r="O24" s="626">
        <v>201</v>
      </c>
      <c r="P24" s="625">
        <v>5025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1290BT05660050</v>
      </c>
      <c r="C25" s="375" t="str">
        <f t="shared" si="3"/>
        <v>566F50</v>
      </c>
      <c r="D25" s="599" t="s">
        <v>619</v>
      </c>
      <c r="E25" s="625">
        <v>50</v>
      </c>
      <c r="F25" s="354" t="s">
        <v>620</v>
      </c>
      <c r="G25" s="354" t="s">
        <v>541</v>
      </c>
      <c r="H25" s="354"/>
      <c r="I25" s="626">
        <v>527</v>
      </c>
      <c r="J25" s="625">
        <v>26350</v>
      </c>
      <c r="K25" s="626">
        <v>255</v>
      </c>
      <c r="L25" s="625">
        <v>12750</v>
      </c>
      <c r="M25" s="626">
        <v>0</v>
      </c>
      <c r="N25" s="625">
        <v>0</v>
      </c>
      <c r="O25" s="626">
        <v>782</v>
      </c>
      <c r="P25" s="625">
        <v>39100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1290D205671925</v>
      </c>
      <c r="C26" s="375" t="str">
        <f t="shared" si="3"/>
        <v>567S25</v>
      </c>
      <c r="D26" s="692" t="s">
        <v>577</v>
      </c>
      <c r="E26" s="625">
        <v>25</v>
      </c>
      <c r="F26" s="354" t="s">
        <v>578</v>
      </c>
      <c r="G26" s="354"/>
      <c r="H26" s="354"/>
      <c r="I26" s="626">
        <v>466</v>
      </c>
      <c r="J26" s="625">
        <v>11650</v>
      </c>
      <c r="K26" s="626">
        <v>0</v>
      </c>
      <c r="L26" s="625">
        <v>0</v>
      </c>
      <c r="M26" s="626">
        <v>0</v>
      </c>
      <c r="N26" s="625">
        <v>0</v>
      </c>
      <c r="O26" s="626">
        <v>466</v>
      </c>
      <c r="P26" s="625">
        <v>11650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1290BT05671950</v>
      </c>
      <c r="C27" s="375" t="str">
        <f t="shared" si="3"/>
        <v>567SF50</v>
      </c>
      <c r="D27" s="599" t="s">
        <v>567</v>
      </c>
      <c r="E27" s="625">
        <v>50</v>
      </c>
      <c r="F27" s="354" t="s">
        <v>568</v>
      </c>
      <c r="G27" s="354" t="s">
        <v>574</v>
      </c>
      <c r="H27" s="354"/>
      <c r="I27" s="626">
        <v>0</v>
      </c>
      <c r="J27" s="625">
        <v>0</v>
      </c>
      <c r="K27" s="626">
        <v>0</v>
      </c>
      <c r="L27" s="625">
        <v>0</v>
      </c>
      <c r="M27" s="626">
        <v>138</v>
      </c>
      <c r="N27" s="625">
        <v>6900</v>
      </c>
      <c r="O27" s="626">
        <v>138</v>
      </c>
      <c r="P27" s="625">
        <v>6900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1290D205950025</v>
      </c>
      <c r="C28" s="375" t="str">
        <f t="shared" si="3"/>
        <v>59525</v>
      </c>
      <c r="D28" s="692" t="s">
        <v>621</v>
      </c>
      <c r="E28" s="625">
        <v>25</v>
      </c>
      <c r="F28" s="354" t="s">
        <v>622</v>
      </c>
      <c r="G28" s="354"/>
      <c r="H28" s="354"/>
      <c r="I28" s="626">
        <v>990</v>
      </c>
      <c r="J28" s="625">
        <v>24750</v>
      </c>
      <c r="K28" s="626">
        <v>721</v>
      </c>
      <c r="L28" s="625">
        <v>18025</v>
      </c>
      <c r="M28" s="626">
        <v>0</v>
      </c>
      <c r="N28" s="625">
        <v>0</v>
      </c>
      <c r="O28" s="626">
        <v>1711</v>
      </c>
      <c r="P28" s="625">
        <v>42775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1290D209520025</v>
      </c>
      <c r="C29" s="375" t="str">
        <f t="shared" si="3"/>
        <v>95225</v>
      </c>
      <c r="D29" s="599" t="s">
        <v>623</v>
      </c>
      <c r="E29" s="625">
        <v>25</v>
      </c>
      <c r="F29" s="354" t="s">
        <v>624</v>
      </c>
      <c r="G29" s="354"/>
      <c r="H29" s="354"/>
      <c r="I29" s="626">
        <v>0</v>
      </c>
      <c r="J29" s="625">
        <v>0</v>
      </c>
      <c r="K29" s="626">
        <v>0</v>
      </c>
      <c r="L29" s="625">
        <v>0</v>
      </c>
      <c r="M29" s="626">
        <v>443</v>
      </c>
      <c r="N29" s="625">
        <v>11075</v>
      </c>
      <c r="O29" s="626">
        <v>443</v>
      </c>
      <c r="P29" s="625">
        <v>11075</v>
      </c>
    </row>
    <row r="30" spans="1:16" ht="16.5" customHeight="1" x14ac:dyDescent="0.2">
      <c r="A30" s="374" t="str">
        <f>IF(ISNA(VLOOKUP(B30,USAGE!$B$2:$F$157,2,0)),IF(B30=0,"0","CHƯA CẮT"),"ĐÃ CẮT")</f>
        <v>ĐÃ CẮT</v>
      </c>
      <c r="B30" s="375" t="str">
        <f>VLOOKUP(C30,[1]MAP!$A$2:$D$208,3,0)</f>
        <v>1290D209660025</v>
      </c>
      <c r="C30" s="375" t="str">
        <f t="shared" ref="C30:C32" si="4">+D30&amp;E30</f>
        <v>96625</v>
      </c>
      <c r="D30" s="692" t="s">
        <v>625</v>
      </c>
      <c r="E30" s="625">
        <v>25</v>
      </c>
      <c r="F30" s="354" t="s">
        <v>626</v>
      </c>
      <c r="G30" s="354"/>
      <c r="H30" s="354"/>
      <c r="I30" s="626">
        <v>442</v>
      </c>
      <c r="J30" s="625">
        <v>11050</v>
      </c>
      <c r="K30" s="626">
        <v>0</v>
      </c>
      <c r="L30" s="625">
        <v>0</v>
      </c>
      <c r="M30" s="626">
        <v>0</v>
      </c>
      <c r="N30" s="625">
        <v>0</v>
      </c>
      <c r="O30" s="865">
        <v>442</v>
      </c>
      <c r="P30" s="625">
        <v>11050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1290D215514925</v>
      </c>
      <c r="C31" s="375" t="str">
        <f t="shared" si="4"/>
        <v>HT11GP25</v>
      </c>
      <c r="D31" s="692" t="s">
        <v>627</v>
      </c>
      <c r="E31" s="625">
        <v>25</v>
      </c>
      <c r="F31" s="354" t="s">
        <v>628</v>
      </c>
      <c r="G31" s="354"/>
      <c r="H31" s="354"/>
      <c r="I31" s="626">
        <v>241</v>
      </c>
      <c r="J31" s="625">
        <v>6025</v>
      </c>
      <c r="K31" s="626">
        <v>0</v>
      </c>
      <c r="L31" s="625">
        <v>0</v>
      </c>
      <c r="M31" s="626">
        <v>0</v>
      </c>
      <c r="N31" s="625">
        <v>0</v>
      </c>
      <c r="O31" s="865">
        <v>241</v>
      </c>
      <c r="P31" s="625">
        <v>6025</v>
      </c>
    </row>
    <row r="32" spans="1:16" x14ac:dyDescent="0.2">
      <c r="A32" s="374" t="str">
        <f>IF(ISNA(VLOOKUP(B32,USAGE!$B$2:$F$157,2,0)),IF(B32=0,"0","CHƯA CẮT"),"ĐÃ CẮT")</f>
        <v>ĐÃ CẮT</v>
      </c>
      <c r="B32" s="375" t="str">
        <f>VLOOKUP(C32,[1]MAP!$A$2:$D$208,3,0)</f>
        <v>1290D215520025</v>
      </c>
      <c r="C32" s="375" t="str">
        <f t="shared" si="4"/>
        <v>HT1225</v>
      </c>
      <c r="D32" s="692" t="s">
        <v>629</v>
      </c>
      <c r="E32" s="862">
        <v>25</v>
      </c>
      <c r="F32" s="625" t="s">
        <v>630</v>
      </c>
      <c r="G32" s="627"/>
      <c r="H32" s="625"/>
      <c r="I32" s="627">
        <v>0</v>
      </c>
      <c r="J32" s="625">
        <v>0</v>
      </c>
      <c r="K32" s="627">
        <v>0</v>
      </c>
      <c r="L32" s="625">
        <v>0</v>
      </c>
      <c r="M32" s="354">
        <v>398</v>
      </c>
      <c r="N32" s="354">
        <v>9950</v>
      </c>
      <c r="O32" s="599">
        <v>398</v>
      </c>
      <c r="P32" s="354">
        <v>9950</v>
      </c>
    </row>
    <row r="33" spans="1:16" ht="12" customHeight="1" x14ac:dyDescent="0.2">
      <c r="A33" s="374" t="str">
        <f>IF(ISNA(VLOOKUP(B33,USAGE!$B$2:$F$157,2,0)),IF(B33=0,"0","CHƯA CẮT"),"ĐÃ CẮT")</f>
        <v>CHƯA CẮT</v>
      </c>
      <c r="B33" s="375" t="str">
        <f>VLOOKUP(C33,[1]MAP!$A$2:$D$208,3,0)</f>
        <v>1290D215521925</v>
      </c>
      <c r="C33" s="375" t="str">
        <f t="shared" ref="C33:C35" si="5">+D33&amp;E33</f>
        <v>HT12S25</v>
      </c>
      <c r="D33" s="692" t="s">
        <v>631</v>
      </c>
      <c r="E33" s="862">
        <v>25</v>
      </c>
      <c r="F33" s="354" t="s">
        <v>632</v>
      </c>
      <c r="G33" s="354"/>
      <c r="H33" s="354"/>
      <c r="I33" s="356">
        <v>252</v>
      </c>
      <c r="J33" s="355">
        <v>6300</v>
      </c>
      <c r="K33" s="356">
        <v>0</v>
      </c>
      <c r="L33" s="355">
        <v>0</v>
      </c>
      <c r="M33" s="356">
        <v>0</v>
      </c>
      <c r="N33" s="355">
        <v>0</v>
      </c>
      <c r="O33" s="865">
        <v>252</v>
      </c>
      <c r="P33" s="355">
        <v>6300</v>
      </c>
    </row>
    <row r="34" spans="1:16" x14ac:dyDescent="0.2">
      <c r="A34" s="374" t="str">
        <f>IF(ISNA(VLOOKUP(B34,USAGE!$B$2:$F$157,2,0)),IF(B34=0,"0","CHƯA CẮT"),"ĐÃ CẮT")</f>
        <v>ĐÃ CẮT</v>
      </c>
      <c r="B34" s="375" t="str">
        <f>VLOOKUP(C34,[1]MAP!$A$2:$D$208,3,0)</f>
        <v>1290D269910025</v>
      </c>
      <c r="C34" s="375" t="str">
        <f t="shared" si="5"/>
        <v>699125</v>
      </c>
      <c r="D34" s="599" t="s">
        <v>633</v>
      </c>
      <c r="E34" s="862">
        <v>25</v>
      </c>
      <c r="F34" s="354" t="s">
        <v>634</v>
      </c>
      <c r="G34" s="354"/>
      <c r="H34" s="354"/>
      <c r="I34" s="356">
        <v>0</v>
      </c>
      <c r="J34" s="355">
        <v>0</v>
      </c>
      <c r="K34" s="356">
        <v>241</v>
      </c>
      <c r="L34" s="355">
        <v>6025</v>
      </c>
      <c r="M34" s="356">
        <v>0</v>
      </c>
      <c r="N34" s="355">
        <v>0</v>
      </c>
      <c r="O34" s="865">
        <v>241</v>
      </c>
      <c r="P34" s="355">
        <v>6025</v>
      </c>
    </row>
    <row r="35" spans="1:16" x14ac:dyDescent="0.2">
      <c r="A35" s="374" t="e">
        <f>IF(ISNA(VLOOKUP(B35,USAGE!$B$2:$F$157,2,0)),IF(B35=0,"0","CHƯA CẮT"),"ĐÃ CẮT")</f>
        <v>#N/A</v>
      </c>
      <c r="B35" s="375" t="e">
        <f>VLOOKUP(C35,[1]MAP!$A$2:$D$208,3,0)</f>
        <v>#N/A</v>
      </c>
      <c r="C35" s="375" t="str">
        <f t="shared" si="5"/>
        <v>Grand Total15830</v>
      </c>
      <c r="D35" s="599" t="s">
        <v>159</v>
      </c>
      <c r="E35" s="862">
        <v>15830</v>
      </c>
      <c r="F35" s="354">
        <v>657525</v>
      </c>
      <c r="G35" s="354">
        <v>10379</v>
      </c>
      <c r="H35" s="354">
        <v>407100</v>
      </c>
      <c r="I35" s="356">
        <v>13811</v>
      </c>
      <c r="J35" s="355">
        <v>578050</v>
      </c>
      <c r="K35" s="356">
        <v>40020</v>
      </c>
      <c r="L35" s="355">
        <v>1642675</v>
      </c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6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7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7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7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7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7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7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7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7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7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7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7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7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7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7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7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8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8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8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8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8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8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8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8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8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8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8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8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8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8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8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8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8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8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8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8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8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8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8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8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8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8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9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9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9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9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9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9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9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9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9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9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9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9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9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9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9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9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9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9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9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9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9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9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9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9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9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9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9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9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9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9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9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9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9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9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9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9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9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9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9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9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9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9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9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9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9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9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9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9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9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9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9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9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9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9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9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9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9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9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9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9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9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9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9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9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10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10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10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K30" sqref="K30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39768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168</v>
      </c>
      <c r="C3" s="354" t="s">
        <v>585</v>
      </c>
      <c r="D3" s="354"/>
      <c r="E3" s="615">
        <v>920</v>
      </c>
      <c r="F3" s="616">
        <v>0</v>
      </c>
      <c r="G3" s="366">
        <f>SUMIF(SUMPK!$B:$B,USAGE!$B:$B,SUMPK!$O:$O)</f>
        <v>920</v>
      </c>
      <c r="H3" s="366">
        <f>+G3-E3</f>
        <v>0</v>
      </c>
    </row>
    <row r="4" spans="1:11" ht="16.5" customHeight="1" x14ac:dyDescent="0.2">
      <c r="A4" s="614">
        <v>2</v>
      </c>
      <c r="B4" s="354" t="s">
        <v>227</v>
      </c>
      <c r="C4" s="354" t="s">
        <v>586</v>
      </c>
      <c r="D4" s="354"/>
      <c r="E4" s="615">
        <v>675</v>
      </c>
      <c r="F4" s="616">
        <v>0</v>
      </c>
      <c r="G4" s="366">
        <f>SUMIF(SUMPK!$B:$B,USAGE!$B:$B,SUMPK!$O:$O)</f>
        <v>675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287</v>
      </c>
      <c r="C5" s="354" t="s">
        <v>583</v>
      </c>
      <c r="D5" s="354"/>
      <c r="E5" s="615">
        <v>4395</v>
      </c>
      <c r="F5" s="616">
        <v>0</v>
      </c>
      <c r="G5" s="366">
        <f>SUMIF(SUMPK!$B:$B,USAGE!$B:$B,SUMPK!$O:$O)</f>
        <v>4395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208</v>
      </c>
      <c r="C6" s="354" t="s">
        <v>569</v>
      </c>
      <c r="D6" s="354"/>
      <c r="E6" s="615">
        <v>2321</v>
      </c>
      <c r="F6" s="616">
        <v>0</v>
      </c>
      <c r="G6" s="366">
        <f>SUMIF(SUMPK!$B:$B,USAGE!$B:$B,SUMPK!$O:$O)</f>
        <v>2321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209</v>
      </c>
      <c r="C7" s="354" t="s">
        <v>587</v>
      </c>
      <c r="D7" s="354"/>
      <c r="E7" s="615">
        <v>1518</v>
      </c>
      <c r="F7" s="616">
        <v>0</v>
      </c>
      <c r="G7" s="366">
        <f>SUMIF(SUMPK!$B:$B,USAGE!$B:$B,SUMPK!$O:$O)</f>
        <v>1518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207</v>
      </c>
      <c r="C8" s="354" t="s">
        <v>345</v>
      </c>
      <c r="D8" s="354"/>
      <c r="E8" s="615">
        <v>7732</v>
      </c>
      <c r="F8" s="616">
        <v>0</v>
      </c>
      <c r="G8" s="366">
        <f>SUMIF(SUMPK!$B:$B,USAGE!$B:$B,SUMPK!$O:$O)</f>
        <v>7732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210</v>
      </c>
      <c r="C9" s="354" t="s">
        <v>512</v>
      </c>
      <c r="D9" s="354"/>
      <c r="E9" s="615">
        <v>4459</v>
      </c>
      <c r="F9" s="616">
        <v>0</v>
      </c>
      <c r="G9" s="366">
        <f>SUMIF(SUMPK!$B:$B,USAGE!$B:$B,SUMPK!$O:$O)</f>
        <v>4459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343</v>
      </c>
      <c r="C10" s="354" t="s">
        <v>570</v>
      </c>
      <c r="D10" s="354"/>
      <c r="E10" s="615">
        <v>2749</v>
      </c>
      <c r="F10" s="616">
        <v>0</v>
      </c>
      <c r="G10" s="366">
        <f>SUMIF(SUMPK!$B:$B,USAGE!$B:$B,SUMPK!$O:$O)</f>
        <v>2749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222</v>
      </c>
      <c r="C11" s="354" t="s">
        <v>588</v>
      </c>
      <c r="D11" s="354"/>
      <c r="E11" s="615">
        <v>782</v>
      </c>
      <c r="F11" s="616">
        <v>0</v>
      </c>
      <c r="G11" s="366">
        <f>SUMIF(SUMPK!$B:$B,USAGE!$B:$B,SUMPK!$O:$O)</f>
        <v>782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212</v>
      </c>
      <c r="C12" s="354" t="s">
        <v>571</v>
      </c>
      <c r="D12" s="354"/>
      <c r="E12" s="615">
        <v>138</v>
      </c>
      <c r="F12" s="616">
        <v>0</v>
      </c>
      <c r="G12" s="366">
        <f>SUMIF(SUMPK!$B:$B,USAGE!$B:$B,SUMPK!$O:$O)</f>
        <v>138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283</v>
      </c>
      <c r="C13" s="354" t="s">
        <v>281</v>
      </c>
      <c r="D13" s="354"/>
      <c r="E13" s="615">
        <v>918</v>
      </c>
      <c r="F13" s="616">
        <v>0</v>
      </c>
      <c r="G13" s="366">
        <f>SUMIF(SUMPK!$B:$B,USAGE!$B:$B,SUMPK!$O:$O)</f>
        <v>918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66</v>
      </c>
      <c r="C14" s="354" t="s">
        <v>67</v>
      </c>
      <c r="D14" s="354"/>
      <c r="E14" s="615">
        <v>2640</v>
      </c>
      <c r="F14" s="616">
        <v>0</v>
      </c>
      <c r="G14" s="366">
        <f>SUMIF(SUMPK!$B:$B,USAGE!$B:$B,SUMPK!$O:$O)</f>
        <v>2640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76</v>
      </c>
      <c r="C15" s="354" t="s">
        <v>589</v>
      </c>
      <c r="D15" s="354"/>
      <c r="E15" s="615">
        <v>332</v>
      </c>
      <c r="F15" s="616">
        <v>0</v>
      </c>
      <c r="G15" s="366">
        <f>SUMIF(SUMPK!$B:$B,USAGE!$B:$B,SUMPK!$O:$O)</f>
        <v>332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85</v>
      </c>
      <c r="C16" s="354" t="s">
        <v>86</v>
      </c>
      <c r="D16" s="354"/>
      <c r="E16" s="615">
        <v>368</v>
      </c>
      <c r="F16" s="616">
        <v>0</v>
      </c>
      <c r="G16" s="366">
        <f>SUMIF(SUMPK!$B:$B,USAGE!$B:$B,SUMPK!$O:$O)</f>
        <v>368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87</v>
      </c>
      <c r="C17" s="354" t="s">
        <v>88</v>
      </c>
      <c r="D17" s="354"/>
      <c r="E17" s="615">
        <v>2449</v>
      </c>
      <c r="F17" s="616">
        <v>0</v>
      </c>
      <c r="G17" s="366">
        <f>SUMIF(SUMPK!$B:$B,USAGE!$B:$B,SUMPK!$O:$O)</f>
        <v>2449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89</v>
      </c>
      <c r="C18" s="354" t="s">
        <v>90</v>
      </c>
      <c r="D18" s="354"/>
      <c r="E18" s="615">
        <v>976</v>
      </c>
      <c r="F18" s="616">
        <v>0</v>
      </c>
      <c r="G18" s="366">
        <f>SUMIF(SUMPK!$B:$B,USAGE!$B:$B,SUMPK!$O:$O)</f>
        <v>976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91</v>
      </c>
      <c r="C19" s="354" t="s">
        <v>92</v>
      </c>
      <c r="D19" s="354"/>
      <c r="E19" s="615">
        <v>1077</v>
      </c>
      <c r="F19" s="616">
        <v>0</v>
      </c>
      <c r="G19" s="366">
        <f>SUMIF(SUMPK!$B:$B,USAGE!$B:$B,SUMPK!$O:$O)</f>
        <v>1077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97</v>
      </c>
      <c r="C20" s="354" t="s">
        <v>98</v>
      </c>
      <c r="D20" s="354"/>
      <c r="E20" s="615">
        <v>550</v>
      </c>
      <c r="F20" s="616">
        <v>0</v>
      </c>
      <c r="G20" s="366">
        <f>SUMIF(SUMPK!$B:$B,USAGE!$B:$B,SUMPK!$O:$O)</f>
        <v>550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103</v>
      </c>
      <c r="C21" s="354" t="s">
        <v>104</v>
      </c>
      <c r="D21" s="354"/>
      <c r="E21" s="615">
        <v>201</v>
      </c>
      <c r="F21" s="616">
        <v>0</v>
      </c>
      <c r="G21" s="366">
        <f>SUMIF(SUMPK!$B:$B,USAGE!$B:$B,SUMPK!$O:$O)</f>
        <v>201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107</v>
      </c>
      <c r="C22" s="354" t="s">
        <v>108</v>
      </c>
      <c r="D22" s="354"/>
      <c r="E22" s="615">
        <v>466</v>
      </c>
      <c r="F22" s="616">
        <v>0</v>
      </c>
      <c r="G22" s="366">
        <f>SUMIF(SUMPK!$B:$B,USAGE!$B:$B,SUMPK!$O:$O)</f>
        <v>466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111</v>
      </c>
      <c r="C23" s="616" t="s">
        <v>112</v>
      </c>
      <c r="D23" s="354"/>
      <c r="E23" s="354">
        <v>1711</v>
      </c>
      <c r="F23" s="354">
        <v>0</v>
      </c>
      <c r="G23" s="366">
        <f>SUMIF(SUMPK!$B:$B,USAGE!$B:$B,SUMPK!$O:$O)</f>
        <v>1711</v>
      </c>
      <c r="H23" s="366">
        <f t="shared" ref="H23" si="4">+G23-E23</f>
        <v>0</v>
      </c>
    </row>
    <row r="24" spans="1:10" ht="16.5" customHeight="1" x14ac:dyDescent="0.2">
      <c r="A24" s="471">
        <v>22</v>
      </c>
      <c r="B24" s="470" t="s">
        <v>117</v>
      </c>
      <c r="C24" s="470" t="s">
        <v>118</v>
      </c>
      <c r="D24" s="470"/>
      <c r="E24" s="472">
        <v>443</v>
      </c>
      <c r="F24" s="473">
        <v>0</v>
      </c>
      <c r="G24" s="366">
        <f>SUMIF(SUMPK!$B:$B,USAGE!$B:$B,SUMPK!$O:$O)</f>
        <v>443</v>
      </c>
      <c r="H24" s="366">
        <f t="shared" ref="H24" si="5">+G24-E24</f>
        <v>0</v>
      </c>
    </row>
    <row r="25" spans="1:10" ht="16.5" customHeight="1" x14ac:dyDescent="0.2">
      <c r="A25" s="471">
        <v>23</v>
      </c>
      <c r="B25" s="470" t="s">
        <v>127</v>
      </c>
      <c r="C25" s="470" t="s">
        <v>128</v>
      </c>
      <c r="D25" s="470"/>
      <c r="E25" s="472">
        <v>442</v>
      </c>
      <c r="F25" s="473">
        <v>0</v>
      </c>
      <c r="G25" s="366">
        <f>SUMIF(SUMPK!$B:$B,USAGE!$B:$B,SUMPK!$O:$O)</f>
        <v>442</v>
      </c>
      <c r="H25" s="366">
        <f t="shared" ref="H25:H29" si="6">+G25-E25</f>
        <v>0</v>
      </c>
    </row>
    <row r="26" spans="1:10" ht="16.5" customHeight="1" x14ac:dyDescent="0.2">
      <c r="A26" s="471">
        <v>24</v>
      </c>
      <c r="B26" s="470" t="s">
        <v>44</v>
      </c>
      <c r="C26" s="679" t="s">
        <v>590</v>
      </c>
      <c r="D26" s="470"/>
      <c r="E26" s="472">
        <v>241</v>
      </c>
      <c r="F26" s="845">
        <v>0</v>
      </c>
      <c r="G26" s="366">
        <f>SUMIF(SUMPK!$B:$B,USAGE!$B:$B,SUMPK!$O:$O)</f>
        <v>241</v>
      </c>
      <c r="H26" s="366">
        <f t="shared" si="6"/>
        <v>0</v>
      </c>
    </row>
    <row r="27" spans="1:10" ht="16.5" customHeight="1" x14ac:dyDescent="0.2">
      <c r="A27" s="471">
        <v>25</v>
      </c>
      <c r="B27" s="679" t="s">
        <v>33</v>
      </c>
      <c r="C27" s="679" t="s">
        <v>591</v>
      </c>
      <c r="D27" s="470"/>
      <c r="E27" s="472">
        <v>398</v>
      </c>
      <c r="F27" s="473">
        <v>0</v>
      </c>
      <c r="G27" s="366">
        <f>SUMIF(SUMPK!$B:$B,USAGE!$B:$B,SUMPK!$O:$O)</f>
        <v>398</v>
      </c>
      <c r="H27" s="366">
        <f t="shared" si="6"/>
        <v>0</v>
      </c>
    </row>
    <row r="28" spans="1:10" ht="16.5" customHeight="1" x14ac:dyDescent="0.2">
      <c r="A28" s="471">
        <v>26</v>
      </c>
      <c r="B28" s="470" t="s">
        <v>146</v>
      </c>
      <c r="C28" s="470" t="s">
        <v>147</v>
      </c>
      <c r="D28" s="470"/>
      <c r="E28" s="472">
        <v>252</v>
      </c>
      <c r="F28" s="473">
        <v>0</v>
      </c>
      <c r="G28" s="366">
        <f>SUMIF(SUMPK!$B:$B,USAGE!$B:$B,SUMPK!$O:$O)</f>
        <v>0</v>
      </c>
      <c r="H28" s="366">
        <f t="shared" si="6"/>
        <v>-252</v>
      </c>
    </row>
    <row r="29" spans="1:10" ht="16.5" customHeight="1" x14ac:dyDescent="0.2">
      <c r="A29" s="471">
        <v>27</v>
      </c>
      <c r="B29" s="470" t="s">
        <v>185</v>
      </c>
      <c r="C29" s="470" t="s">
        <v>203</v>
      </c>
      <c r="D29" s="470"/>
      <c r="E29" s="472">
        <v>241</v>
      </c>
      <c r="F29" s="473">
        <v>0</v>
      </c>
      <c r="G29" s="366">
        <f>SUMIF(SUMPK!$B:$B,USAGE!$B:$B,SUMPK!$O:$O)</f>
        <v>241</v>
      </c>
      <c r="H29" s="366">
        <f t="shared" si="6"/>
        <v>0</v>
      </c>
    </row>
    <row r="30" spans="1:10" ht="16.5" customHeight="1" x14ac:dyDescent="0.2">
      <c r="A30" s="471">
        <v>28</v>
      </c>
      <c r="B30" s="470" t="s">
        <v>57</v>
      </c>
      <c r="C30" s="470" t="s">
        <v>592</v>
      </c>
      <c r="D30" s="470"/>
      <c r="E30" s="472">
        <v>329</v>
      </c>
      <c r="F30" s="473">
        <v>0</v>
      </c>
      <c r="G30" s="366">
        <f>SUMIF(SUMPK!$B:$B,USAGE!$B:$B,SUMPK!$O:$O)</f>
        <v>329</v>
      </c>
      <c r="H30" s="366">
        <f t="shared" ref="H30:H31" si="7">+G30-E30</f>
        <v>0</v>
      </c>
      <c r="J30" s="474"/>
    </row>
    <row r="31" spans="1:10" ht="16.5" customHeight="1" x14ac:dyDescent="0.2">
      <c r="A31" s="471">
        <v>29</v>
      </c>
      <c r="B31" s="470" t="s">
        <v>341</v>
      </c>
      <c r="C31" s="470" t="s">
        <v>593</v>
      </c>
      <c r="D31" s="470"/>
      <c r="E31" s="472">
        <v>297</v>
      </c>
      <c r="F31" s="473">
        <v>0</v>
      </c>
      <c r="G31" s="366">
        <f>SUMIF(SUMPK!$B:$B,USAGE!$B:$B,SUMPK!$O:$O)</f>
        <v>297</v>
      </c>
      <c r="H31" s="366">
        <f t="shared" si="7"/>
        <v>0</v>
      </c>
    </row>
    <row r="32" spans="1:10" ht="16.5" customHeight="1" x14ac:dyDescent="0.2">
      <c r="A32" s="470" t="s">
        <v>22</v>
      </c>
      <c r="B32" s="472">
        <v>40020</v>
      </c>
      <c r="C32" s="473">
        <v>0</v>
      </c>
      <c r="D32" s="470" t="s">
        <v>172</v>
      </c>
      <c r="E32" s="470" t="s">
        <v>173</v>
      </c>
      <c r="F32" s="473" t="s">
        <v>174</v>
      </c>
      <c r="G32" s="366">
        <f>SUMIF(SUMPK!$B:$B,USAGE!$B:$B,SUMPK!$O:$O)</f>
        <v>0</v>
      </c>
      <c r="H32" s="366" t="e">
        <f t="shared" ref="H32" si="8">+G32-E32</f>
        <v>#VALUE!</v>
      </c>
    </row>
    <row r="33" spans="1:8" ht="16.5" customHeight="1" x14ac:dyDescent="0.2">
      <c r="A33" s="376"/>
      <c r="B33" s="354"/>
      <c r="C33" s="354"/>
      <c r="D33" s="354"/>
      <c r="E33" s="377"/>
      <c r="F33" s="473"/>
      <c r="G33" s="366"/>
      <c r="H33" s="366"/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9">+G52-E52</f>
        <v>0</v>
      </c>
    </row>
    <row r="53" spans="7:8" x14ac:dyDescent="0.2">
      <c r="G53" s="366">
        <f>SUMIF(SUMPK!$B:$B,USAGE!$B:$B,SUMPK!$O:$O)</f>
        <v>0</v>
      </c>
      <c r="H53" s="366">
        <f t="shared" si="9"/>
        <v>0</v>
      </c>
    </row>
    <row r="54" spans="7:8" x14ac:dyDescent="0.2">
      <c r="G54" s="366">
        <f>SUMIF(SUMPK!$B:$B,USAGE!$B:$B,SUMPK!$O:$O)</f>
        <v>0</v>
      </c>
      <c r="H54" s="366">
        <f t="shared" si="9"/>
        <v>0</v>
      </c>
    </row>
    <row r="55" spans="7:8" x14ac:dyDescent="0.2">
      <c r="G55" s="366">
        <f>SUMIF(SUMPK!$B:$B,USAGE!$B:$B,SUMPK!$O:$O)</f>
        <v>0</v>
      </c>
      <c r="H55" s="366">
        <f t="shared" si="9"/>
        <v>0</v>
      </c>
    </row>
    <row r="56" spans="7:8" x14ac:dyDescent="0.2">
      <c r="G56" s="366">
        <f>SUMIF(SUMPK!$B:$B,USAGE!$B:$B,SUMPK!$O:$O)</f>
        <v>0</v>
      </c>
      <c r="H56" s="366">
        <f t="shared" si="9"/>
        <v>0</v>
      </c>
    </row>
    <row r="57" spans="7:8" x14ac:dyDescent="0.2">
      <c r="G57" s="366">
        <f>SUMIF(SUMPK!$B:$B,USAGE!$B:$B,SUMPK!$O:$O)</f>
        <v>0</v>
      </c>
      <c r="H57" s="366">
        <f t="shared" si="9"/>
        <v>0</v>
      </c>
    </row>
    <row r="58" spans="7:8" x14ac:dyDescent="0.2">
      <c r="G58" s="366">
        <f>SUMIF(SUMPK!$B:$B,USAGE!$B:$B,SUMPK!$O:$O)</f>
        <v>0</v>
      </c>
      <c r="H58" s="366">
        <f t="shared" si="9"/>
        <v>0</v>
      </c>
    </row>
    <row r="59" spans="7:8" x14ac:dyDescent="0.2">
      <c r="G59" s="366">
        <f>SUMIF(SUMPK!$B:$B,USAGE!$B:$B,SUMPK!$O:$O)</f>
        <v>0</v>
      </c>
      <c r="H59" s="366">
        <f t="shared" si="9"/>
        <v>0</v>
      </c>
    </row>
    <row r="60" spans="7:8" x14ac:dyDescent="0.2">
      <c r="G60" s="366">
        <f>SUMIF(SUMPK!$B:$B,USAGE!$B:$B,SUMPK!$O:$O)</f>
        <v>0</v>
      </c>
      <c r="H60" s="366">
        <f t="shared" si="9"/>
        <v>0</v>
      </c>
    </row>
    <row r="61" spans="7:8" x14ac:dyDescent="0.2">
      <c r="G61" s="366">
        <f>SUMIF(SUMPK!$B:$B,USAGE!$B:$B,SUMPK!$O:$O)</f>
        <v>0</v>
      </c>
      <c r="H61" s="366">
        <f t="shared" si="9"/>
        <v>0</v>
      </c>
    </row>
    <row r="62" spans="7:8" x14ac:dyDescent="0.2">
      <c r="G62" s="366">
        <f>SUMIF(SUMPK!$B:$B,USAGE!$B:$B,SUMPK!$O:$O)</f>
        <v>0</v>
      </c>
      <c r="H62" s="366">
        <f t="shared" si="9"/>
        <v>0</v>
      </c>
    </row>
    <row r="63" spans="7:8" x14ac:dyDescent="0.2">
      <c r="G63" s="366">
        <f>SUMIF(SUMPK!$B:$B,USAGE!$B:$B,SUMPK!$O:$O)</f>
        <v>0</v>
      </c>
      <c r="H63" s="366">
        <f t="shared" si="9"/>
        <v>0</v>
      </c>
    </row>
    <row r="64" spans="7:8" x14ac:dyDescent="0.2">
      <c r="G64" s="366">
        <f>SUMIF(SUMPK!$B:$B,USAGE!$B:$B,SUMPK!$O:$O)</f>
        <v>0</v>
      </c>
      <c r="H64" s="366">
        <f t="shared" si="9"/>
        <v>0</v>
      </c>
    </row>
    <row r="65" spans="7:8" x14ac:dyDescent="0.2">
      <c r="G65" s="366">
        <f>SUMIF(SUMPK!$B:$B,USAGE!$B:$B,SUMPK!$O:$O)</f>
        <v>0</v>
      </c>
      <c r="H65" s="366">
        <f t="shared" si="9"/>
        <v>0</v>
      </c>
    </row>
    <row r="66" spans="7:8" x14ac:dyDescent="0.2">
      <c r="G66" s="366">
        <f>SUMIF(SUMPK!$B:$B,USAGE!$B:$B,SUMPK!$O:$O)</f>
        <v>0</v>
      </c>
      <c r="H66" s="366">
        <f t="shared" si="9"/>
        <v>0</v>
      </c>
    </row>
    <row r="67" spans="7:8" x14ac:dyDescent="0.2">
      <c r="G67" s="366">
        <f>SUMIF(SUMPK!$B:$B,USAGE!$B:$B,SUMPK!$O:$O)</f>
        <v>0</v>
      </c>
      <c r="H67" s="366">
        <f t="shared" si="9"/>
        <v>0</v>
      </c>
    </row>
    <row r="68" spans="7:8" x14ac:dyDescent="0.2">
      <c r="G68" s="366">
        <f>SUMIF(SUMPK!$B:$B,USAGE!$B:$B,SUMPK!$O:$O)</f>
        <v>0</v>
      </c>
      <c r="H68" s="366">
        <f t="shared" si="9"/>
        <v>0</v>
      </c>
    </row>
    <row r="69" spans="7:8" x14ac:dyDescent="0.2">
      <c r="G69" s="366">
        <f>SUMIF(SUMPK!$B:$B,USAGE!$B:$B,SUMPK!$O:$O)</f>
        <v>0</v>
      </c>
      <c r="H69" s="366">
        <f t="shared" si="9"/>
        <v>0</v>
      </c>
    </row>
    <row r="70" spans="7:8" x14ac:dyDescent="0.2">
      <c r="G70" s="366">
        <f>SUMIF(SUMPK!$B:$B,USAGE!$B:$B,SUMPK!$O:$O)</f>
        <v>0</v>
      </c>
      <c r="H70" s="366">
        <f t="shared" si="9"/>
        <v>0</v>
      </c>
    </row>
    <row r="71" spans="7:8" x14ac:dyDescent="0.2">
      <c r="G71" s="366">
        <f>SUMIF(SUMPK!$B:$B,USAGE!$B:$B,SUMPK!$O:$O)</f>
        <v>0</v>
      </c>
      <c r="H71" s="366">
        <f t="shared" si="9"/>
        <v>0</v>
      </c>
    </row>
    <row r="72" spans="7:8" x14ac:dyDescent="0.2">
      <c r="G72" s="366">
        <f>SUMIF(SUMPK!$B:$B,USAGE!$B:$B,SUMPK!$O:$O)</f>
        <v>0</v>
      </c>
      <c r="H72" s="366">
        <f t="shared" si="9"/>
        <v>0</v>
      </c>
    </row>
    <row r="73" spans="7:8" x14ac:dyDescent="0.2">
      <c r="G73" s="366">
        <f>SUMIF(SUMPK!$B:$B,USAGE!$B:$B,SUMPK!$O:$O)</f>
        <v>0</v>
      </c>
      <c r="H73" s="366">
        <f t="shared" si="9"/>
        <v>0</v>
      </c>
    </row>
    <row r="74" spans="7:8" x14ac:dyDescent="0.2">
      <c r="G74" s="366">
        <f>SUMIF(SUMPK!$B:$B,USAGE!$B:$B,SUMPK!$O:$O)</f>
        <v>0</v>
      </c>
      <c r="H74" s="366">
        <f t="shared" si="9"/>
        <v>0</v>
      </c>
    </row>
    <row r="75" spans="7:8" x14ac:dyDescent="0.2">
      <c r="G75" s="366">
        <f>SUMIF(SUMPK!$B:$B,USAGE!$B:$B,SUMPK!$O:$O)</f>
        <v>0</v>
      </c>
      <c r="H75" s="366">
        <f t="shared" si="9"/>
        <v>0</v>
      </c>
    </row>
    <row r="76" spans="7:8" x14ac:dyDescent="0.2">
      <c r="G76" s="366">
        <f>SUMIF(SUMPK!$B:$B,USAGE!$B:$B,SUMPK!$O:$O)</f>
        <v>0</v>
      </c>
      <c r="H76" s="366">
        <f t="shared" si="9"/>
        <v>0</v>
      </c>
    </row>
    <row r="77" spans="7:8" x14ac:dyDescent="0.2">
      <c r="G77" s="366">
        <f>SUMIF(SUMPK!$B:$B,USAGE!$B:$B,SUMPK!$O:$O)</f>
        <v>0</v>
      </c>
      <c r="H77" s="366">
        <f t="shared" si="9"/>
        <v>0</v>
      </c>
    </row>
    <row r="78" spans="7:8" x14ac:dyDescent="0.2">
      <c r="G78" s="366">
        <f>SUMIF(SUMPK!$B:$B,USAGE!$B:$B,SUMPK!$O:$O)</f>
        <v>0</v>
      </c>
      <c r="H78" s="366">
        <f t="shared" si="9"/>
        <v>0</v>
      </c>
    </row>
    <row r="79" spans="7:8" x14ac:dyDescent="0.2">
      <c r="G79" s="366">
        <f>SUMIF(SUMPK!$B:$B,USAGE!$B:$B,SUMPK!$O:$O)</f>
        <v>0</v>
      </c>
      <c r="H79" s="366">
        <f t="shared" si="9"/>
        <v>0</v>
      </c>
    </row>
    <row r="80" spans="7:8" x14ac:dyDescent="0.2">
      <c r="G80" s="366">
        <f>SUMIF(SUMPK!$B:$B,USAGE!$B:$B,SUMPK!$O:$O)</f>
        <v>0</v>
      </c>
      <c r="H80" s="366">
        <f t="shared" si="9"/>
        <v>0</v>
      </c>
    </row>
    <row r="81" spans="7:8" x14ac:dyDescent="0.2">
      <c r="G81" s="366">
        <f>SUMIF(SUMPK!$B:$B,USAGE!$B:$B,SUMPK!$O:$O)</f>
        <v>0</v>
      </c>
      <c r="H81" s="366">
        <f t="shared" si="9"/>
        <v>0</v>
      </c>
    </row>
    <row r="82" spans="7:8" x14ac:dyDescent="0.2">
      <c r="G82" s="366">
        <f>SUMIF(SUMPK!$B:$B,USAGE!$B:$B,SUMPK!$O:$O)</f>
        <v>0</v>
      </c>
      <c r="H82" s="366">
        <f t="shared" si="9"/>
        <v>0</v>
      </c>
    </row>
    <row r="83" spans="7:8" x14ac:dyDescent="0.2">
      <c r="G83" s="366">
        <f>SUMIF(SUMPK!$B:$B,USAGE!$B:$B,SUMPK!$O:$O)</f>
        <v>0</v>
      </c>
      <c r="H83" s="366">
        <f t="shared" si="9"/>
        <v>0</v>
      </c>
    </row>
    <row r="84" spans="7:8" x14ac:dyDescent="0.2">
      <c r="G84" s="366">
        <f>SUMIF(SUMPK!$B:$B,USAGE!$B:$B,SUMPK!$O:$O)</f>
        <v>0</v>
      </c>
      <c r="H84" s="366">
        <f t="shared" si="9"/>
        <v>0</v>
      </c>
    </row>
    <row r="85" spans="7:8" x14ac:dyDescent="0.2">
      <c r="G85" s="366">
        <f>SUMIF(SUMPK!$B:$B,USAGE!$B:$B,SUMPK!$O:$O)</f>
        <v>0</v>
      </c>
      <c r="H85" s="366">
        <f t="shared" si="9"/>
        <v>0</v>
      </c>
    </row>
    <row r="86" spans="7:8" x14ac:dyDescent="0.2">
      <c r="G86" s="366">
        <f>SUMIF(SUMPK!$B:$B,USAGE!$B:$B,SUMPK!$O:$O)</f>
        <v>0</v>
      </c>
      <c r="H86" s="366">
        <f t="shared" si="9"/>
        <v>0</v>
      </c>
    </row>
    <row r="87" spans="7:8" x14ac:dyDescent="0.2">
      <c r="G87" s="366">
        <f>SUMIF(SUMPK!$B:$B,USAGE!$B:$B,SUMPK!$O:$O)</f>
        <v>0</v>
      </c>
      <c r="H87" s="366">
        <f t="shared" si="9"/>
        <v>0</v>
      </c>
    </row>
    <row r="88" spans="7:8" x14ac:dyDescent="0.2">
      <c r="G88" s="366">
        <f>SUMIF(SUMPK!$B:$B,USAGE!$B:$B,SUMPK!$O:$O)</f>
        <v>0</v>
      </c>
      <c r="H88" s="366">
        <f t="shared" si="9"/>
        <v>0</v>
      </c>
    </row>
    <row r="89" spans="7:8" x14ac:dyDescent="0.2">
      <c r="G89" s="366">
        <f>SUMIF(SUMPK!$B:$B,USAGE!$B:$B,SUMPK!$O:$O)</f>
        <v>0</v>
      </c>
      <c r="H89" s="366">
        <f t="shared" si="9"/>
        <v>0</v>
      </c>
    </row>
    <row r="90" spans="7:8" x14ac:dyDescent="0.2">
      <c r="G90" s="366">
        <f>SUMIF(SUMPK!$B:$B,USAGE!$B:$B,SUMPK!$O:$O)</f>
        <v>0</v>
      </c>
      <c r="H90" s="366">
        <f t="shared" si="9"/>
        <v>0</v>
      </c>
    </row>
    <row r="91" spans="7:8" x14ac:dyDescent="0.2">
      <c r="G91" s="366">
        <f>SUMIF(SUMPK!$B:$B,USAGE!$B:$B,SUMPK!$O:$O)</f>
        <v>0</v>
      </c>
      <c r="H91" s="366">
        <f t="shared" si="9"/>
        <v>0</v>
      </c>
    </row>
    <row r="92" spans="7:8" x14ac:dyDescent="0.2">
      <c r="G92" s="366">
        <f>SUMIF(SUMPK!$B:$B,USAGE!$B:$B,SUMPK!$O:$O)</f>
        <v>0</v>
      </c>
      <c r="H92" s="366">
        <f t="shared" si="9"/>
        <v>0</v>
      </c>
    </row>
    <row r="93" spans="7:8" x14ac:dyDescent="0.2">
      <c r="G93" s="366">
        <f>SUMIF(SUMPK!$B:$B,USAGE!$B:$B,SUMPK!$O:$O)</f>
        <v>0</v>
      </c>
      <c r="H93" s="366">
        <f t="shared" si="9"/>
        <v>0</v>
      </c>
    </row>
    <row r="94" spans="7:8" x14ac:dyDescent="0.2">
      <c r="G94" s="366">
        <f>SUMIF(SUMPK!$B:$B,USAGE!$B:$B,SUMPK!$O:$O)</f>
        <v>0</v>
      </c>
      <c r="H94" s="366">
        <f t="shared" si="9"/>
        <v>0</v>
      </c>
    </row>
    <row r="95" spans="7:8" x14ac:dyDescent="0.2">
      <c r="G95" s="366">
        <f>SUMIF(SUMPK!$B:$B,USAGE!$B:$B,SUMPK!$O:$O)</f>
        <v>0</v>
      </c>
      <c r="H95" s="366">
        <f t="shared" si="9"/>
        <v>0</v>
      </c>
    </row>
    <row r="96" spans="7:8" x14ac:dyDescent="0.2">
      <c r="G96" s="366">
        <f>SUMIF(SUMPK!$B:$B,USAGE!$B:$B,SUMPK!$O:$O)</f>
        <v>0</v>
      </c>
      <c r="H96" s="366">
        <f t="shared" si="9"/>
        <v>0</v>
      </c>
    </row>
    <row r="97" spans="7:8" x14ac:dyDescent="0.2">
      <c r="G97" s="366">
        <f>SUMIF(SUMPK!$B:$B,USAGE!$B:$B,SUMPK!$O:$O)</f>
        <v>0</v>
      </c>
      <c r="H97" s="366">
        <f t="shared" ref="H97" si="10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12" priority="4">
      <formula>MOD(ROW(),2)</formula>
    </cfRule>
  </conditionalFormatting>
  <conditionalFormatting sqref="I2:XFD158 A44:H134 A2:F43 G1:H43">
    <cfRule type="expression" dxfId="11" priority="7">
      <formula>MOD(ROW(),2)</formula>
    </cfRule>
  </conditionalFormatting>
  <conditionalFormatting sqref="H1:H1048576">
    <cfRule type="cellIs" dxfId="10" priority="1" operator="equal">
      <formula>" &gt;0 or &lt;0"</formula>
    </cfRule>
    <cfRule type="cellIs" dxfId="9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2026-05-15T00:14:15Z</dcterms:modified>
</cp:coreProperties>
</file>