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RONTEND\tomoni-angular\"/>
    </mc:Choice>
  </mc:AlternateContent>
  <bookViews>
    <workbookView xWindow="0" yWindow="0" windowWidth="23040" windowHeight="9192" activeTab="1"/>
  </bookViews>
  <sheets>
    <sheet name="25464" sheetId="1" r:id="rId1"/>
    <sheet name="Sheet1" sheetId="2" r:id="rId2"/>
  </sheets>
  <calcPr calcId="162913"/>
  <extLst>
    <ext uri="GoogleSheetsCustomDataVersion1">
      <go:sheetsCustomData xmlns:go="http://customooxmlschemas.google.com/" r:id="rId5" roundtripDataSignature="AMtx7mizgh4kM857xLdS4mfF9/PSOup1Gg==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1" i="2"/>
  <c r="D1049" i="1"/>
  <c r="D1041" i="1"/>
  <c r="D1033" i="1"/>
  <c r="D1025" i="1"/>
  <c r="D1017" i="1"/>
  <c r="D1009" i="1"/>
  <c r="D1001" i="1"/>
  <c r="D993" i="1"/>
  <c r="D985" i="1"/>
  <c r="D977" i="1"/>
  <c r="D969" i="1"/>
  <c r="D961" i="1"/>
  <c r="D953" i="1"/>
  <c r="D945" i="1"/>
  <c r="D937" i="1"/>
  <c r="D929" i="1"/>
  <c r="D921" i="1"/>
  <c r="D913" i="1"/>
  <c r="D905" i="1"/>
  <c r="D897" i="1"/>
  <c r="D889" i="1"/>
  <c r="D881" i="1"/>
  <c r="D873" i="1"/>
  <c r="D865" i="1"/>
  <c r="D857" i="1"/>
  <c r="D849" i="1"/>
  <c r="D841" i="1"/>
  <c r="D833" i="1"/>
  <c r="D825" i="1"/>
  <c r="D817" i="1"/>
  <c r="D1034" i="1"/>
  <c r="D1002" i="1"/>
  <c r="D970" i="1"/>
  <c r="D938" i="1"/>
  <c r="D906" i="1"/>
  <c r="D874" i="1"/>
  <c r="D842" i="1"/>
  <c r="D812" i="1"/>
  <c r="D1048" i="1"/>
  <c r="D1014" i="1"/>
  <c r="D972" i="1"/>
  <c r="D928" i="1"/>
  <c r="D886" i="1"/>
  <c r="D844" i="1"/>
  <c r="D807" i="1"/>
  <c r="D790" i="1"/>
  <c r="D774" i="1"/>
  <c r="D758" i="1"/>
  <c r="D742" i="1"/>
  <c r="D726" i="1"/>
  <c r="D710" i="1"/>
  <c r="D694" i="1"/>
  <c r="D678" i="1"/>
  <c r="D662" i="1"/>
  <c r="D646" i="1"/>
  <c r="D630" i="1"/>
  <c r="D614" i="1"/>
  <c r="D1012" i="1"/>
  <c r="D968" i="1"/>
  <c r="D926" i="1"/>
  <c r="D884" i="1"/>
  <c r="D840" i="1"/>
  <c r="D806" i="1"/>
  <c r="D789" i="1"/>
  <c r="D773" i="1"/>
  <c r="D757" i="1"/>
  <c r="D741" i="1"/>
  <c r="D725" i="1"/>
  <c r="D709" i="1"/>
  <c r="D693" i="1"/>
  <c r="D677" i="1"/>
  <c r="D661" i="1"/>
  <c r="D645" i="1"/>
  <c r="D629" i="1"/>
  <c r="D613" i="1"/>
  <c r="D605" i="1"/>
  <c r="D597" i="1"/>
  <c r="D589" i="1"/>
  <c r="D581" i="1"/>
  <c r="D1038" i="1"/>
  <c r="D952" i="1"/>
  <c r="D868" i="1"/>
  <c r="D799" i="1"/>
  <c r="D772" i="1"/>
  <c r="D740" i="1"/>
  <c r="D708" i="1"/>
  <c r="D676" i="1"/>
  <c r="D644" i="1"/>
  <c r="D612" i="1"/>
  <c r="D596" i="1"/>
  <c r="D580" i="1"/>
  <c r="D562" i="1"/>
  <c r="D546" i="1"/>
  <c r="D530" i="1"/>
  <c r="D514" i="1"/>
  <c r="D498" i="1"/>
  <c r="D482" i="1"/>
  <c r="D466" i="1"/>
  <c r="D450" i="1"/>
  <c r="D434" i="1"/>
  <c r="D418" i="1"/>
  <c r="D402" i="1"/>
  <c r="D1040" i="1"/>
  <c r="D924" i="1"/>
  <c r="D814" i="1"/>
  <c r="D770" i="1"/>
  <c r="D721" i="1"/>
  <c r="D671" i="1"/>
  <c r="D642" i="1"/>
  <c r="D572" i="1"/>
  <c r="D547" i="1"/>
  <c r="D529" i="1"/>
  <c r="D508" i="1"/>
  <c r="D483" i="1"/>
  <c r="D465" i="1"/>
  <c r="D444" i="1"/>
  <c r="D419" i="1"/>
  <c r="D401" i="1"/>
  <c r="D379" i="1"/>
  <c r="D363" i="1"/>
  <c r="D347" i="1"/>
  <c r="D331" i="1"/>
  <c r="D315" i="1"/>
  <c r="D299" i="1"/>
  <c r="D976" i="1"/>
  <c r="D860" i="1"/>
  <c r="D775" i="1"/>
  <c r="D1047" i="1"/>
  <c r="D1039" i="1"/>
  <c r="D1031" i="1"/>
  <c r="D1023" i="1"/>
  <c r="D1015" i="1"/>
  <c r="D1007" i="1"/>
  <c r="D999" i="1"/>
  <c r="D991" i="1"/>
  <c r="D983" i="1"/>
  <c r="D975" i="1"/>
  <c r="D967" i="1"/>
  <c r="D959" i="1"/>
  <c r="D951" i="1"/>
  <c r="D943" i="1"/>
  <c r="D935" i="1"/>
  <c r="D927" i="1"/>
  <c r="D919" i="1"/>
  <c r="D911" i="1"/>
  <c r="D903" i="1"/>
  <c r="D895" i="1"/>
  <c r="D887" i="1"/>
  <c r="D879" i="1"/>
  <c r="D871" i="1"/>
  <c r="D863" i="1"/>
  <c r="D855" i="1"/>
  <c r="D847" i="1"/>
  <c r="D839" i="1"/>
  <c r="D831" i="1"/>
  <c r="D823" i="1"/>
  <c r="D815" i="1"/>
  <c r="D1026" i="1"/>
  <c r="D994" i="1"/>
  <c r="D962" i="1"/>
  <c r="D930" i="1"/>
  <c r="D898" i="1"/>
  <c r="D866" i="1"/>
  <c r="D834" i="1"/>
  <c r="D808" i="1"/>
  <c r="D1046" i="1"/>
  <c r="D1004" i="1"/>
  <c r="D960" i="1"/>
  <c r="D918" i="1"/>
  <c r="D876" i="1"/>
  <c r="D832" i="1"/>
  <c r="D802" i="1"/>
  <c r="D787" i="1"/>
  <c r="D771" i="1"/>
  <c r="D755" i="1"/>
  <c r="D739" i="1"/>
  <c r="D723" i="1"/>
  <c r="D707" i="1"/>
  <c r="D691" i="1"/>
  <c r="D675" i="1"/>
  <c r="D659" i="1"/>
  <c r="D643" i="1"/>
  <c r="D627" i="1"/>
  <c r="D1044" i="1"/>
  <c r="D1000" i="1"/>
  <c r="D958" i="1"/>
  <c r="D916" i="1"/>
  <c r="D872" i="1"/>
  <c r="D830" i="1"/>
  <c r="D801" i="1"/>
  <c r="D784" i="1"/>
  <c r="D768" i="1"/>
  <c r="D752" i="1"/>
  <c r="D736" i="1"/>
  <c r="D720" i="1"/>
  <c r="D704" i="1"/>
  <c r="D688" i="1"/>
  <c r="D672" i="1"/>
  <c r="D656" i="1"/>
  <c r="D640" i="1"/>
  <c r="D624" i="1"/>
  <c r="D611" i="1"/>
  <c r="D603" i="1"/>
  <c r="D595" i="1"/>
  <c r="D587" i="1"/>
  <c r="D579" i="1"/>
  <c r="D1016" i="1"/>
  <c r="D932" i="1"/>
  <c r="D846" i="1"/>
  <c r="D793" i="1"/>
  <c r="D761" i="1"/>
  <c r="D729" i="1"/>
  <c r="D697" i="1"/>
  <c r="D665" i="1"/>
  <c r="D633" i="1"/>
  <c r="D608" i="1"/>
  <c r="D592" i="1"/>
  <c r="D576" i="1"/>
  <c r="D559" i="1"/>
  <c r="D543" i="1"/>
  <c r="D527" i="1"/>
  <c r="D511" i="1"/>
  <c r="D495" i="1"/>
  <c r="D479" i="1"/>
  <c r="D463" i="1"/>
  <c r="D447" i="1"/>
  <c r="D431" i="1"/>
  <c r="D415" i="1"/>
  <c r="D399" i="1"/>
  <c r="D1008" i="1"/>
  <c r="D900" i="1"/>
  <c r="D791" i="1"/>
  <c r="D764" i="1"/>
  <c r="D714" i="1"/>
  <c r="D663" i="1"/>
  <c r="D636" i="1"/>
  <c r="D565" i="1"/>
  <c r="D544" i="1"/>
  <c r="D526" i="1"/>
  <c r="D501" i="1"/>
  <c r="D480" i="1"/>
  <c r="D462" i="1"/>
  <c r="D437" i="1"/>
  <c r="D416" i="1"/>
  <c r="D398" i="1"/>
  <c r="D374" i="1"/>
  <c r="D358" i="1"/>
  <c r="D342" i="1"/>
  <c r="D326" i="1"/>
  <c r="D310" i="1"/>
  <c r="D294" i="1"/>
  <c r="D944" i="1"/>
  <c r="D836" i="1"/>
  <c r="D769" i="1"/>
  <c r="D1045" i="1"/>
  <c r="D1037" i="1"/>
  <c r="D1029" i="1"/>
  <c r="D1021" i="1"/>
  <c r="D1013" i="1"/>
  <c r="D1005" i="1"/>
  <c r="D997" i="1"/>
  <c r="D989" i="1"/>
  <c r="D981" i="1"/>
  <c r="D973" i="1"/>
  <c r="D965" i="1"/>
  <c r="D957" i="1"/>
  <c r="D949" i="1"/>
  <c r="D941" i="1"/>
  <c r="D933" i="1"/>
  <c r="D925" i="1"/>
  <c r="D917" i="1"/>
  <c r="D909" i="1"/>
  <c r="D901" i="1"/>
  <c r="D893" i="1"/>
  <c r="D885" i="1"/>
  <c r="D877" i="1"/>
  <c r="D869" i="1"/>
  <c r="D861" i="1"/>
  <c r="D853" i="1"/>
  <c r="D845" i="1"/>
  <c r="D837" i="1"/>
  <c r="D829" i="1"/>
  <c r="D821" i="1"/>
  <c r="D1050" i="1"/>
  <c r="D1018" i="1"/>
  <c r="D986" i="1"/>
  <c r="D954" i="1"/>
  <c r="D922" i="1"/>
  <c r="D890" i="1"/>
  <c r="D858" i="1"/>
  <c r="D826" i="1"/>
  <c r="D804" i="1"/>
  <c r="D1036" i="1"/>
  <c r="D992" i="1"/>
  <c r="D950" i="1"/>
  <c r="D908" i="1"/>
  <c r="D864" i="1"/>
  <c r="D822" i="1"/>
  <c r="D798" i="1"/>
  <c r="D782" i="1"/>
  <c r="D766" i="1"/>
  <c r="D750" i="1"/>
  <c r="D734" i="1"/>
  <c r="D718" i="1"/>
  <c r="D702" i="1"/>
  <c r="D686" i="1"/>
  <c r="D670" i="1"/>
  <c r="D654" i="1"/>
  <c r="D638" i="1"/>
  <c r="D622" i="1"/>
  <c r="D1032" i="1"/>
  <c r="D990" i="1"/>
  <c r="D948" i="1"/>
  <c r="D904" i="1"/>
  <c r="D862" i="1"/>
  <c r="D820" i="1"/>
  <c r="D797" i="1"/>
  <c r="D781" i="1"/>
  <c r="D765" i="1"/>
  <c r="D749" i="1"/>
  <c r="D733" i="1"/>
  <c r="D717" i="1"/>
  <c r="D701" i="1"/>
  <c r="D685" i="1"/>
  <c r="D669" i="1"/>
  <c r="D653" i="1"/>
  <c r="D637" i="1"/>
  <c r="D621" i="1"/>
  <c r="D609" i="1"/>
  <c r="D601" i="1"/>
  <c r="D593" i="1"/>
  <c r="D585" i="1"/>
  <c r="D577" i="1"/>
  <c r="D996" i="1"/>
  <c r="D910" i="1"/>
  <c r="D824" i="1"/>
  <c r="D788" i="1"/>
  <c r="D756" i="1"/>
  <c r="D724" i="1"/>
  <c r="D692" i="1"/>
  <c r="D660" i="1"/>
  <c r="D628" i="1"/>
  <c r="D604" i="1"/>
  <c r="D588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984" i="1"/>
  <c r="D870" i="1"/>
  <c r="D785" i="1"/>
  <c r="D735" i="1"/>
  <c r="D706" i="1"/>
  <c r="D657" i="1"/>
  <c r="D598" i="1"/>
  <c r="D561" i="1"/>
  <c r="D540" i="1"/>
  <c r="D515" i="1"/>
  <c r="D497" i="1"/>
  <c r="D476" i="1"/>
  <c r="D451" i="1"/>
  <c r="D433" i="1"/>
  <c r="D412" i="1"/>
  <c r="D387" i="1"/>
  <c r="D371" i="1"/>
  <c r="D355" i="1"/>
  <c r="D339" i="1"/>
  <c r="D323" i="1"/>
  <c r="D307" i="1"/>
  <c r="D1030" i="1"/>
  <c r="D920" i="1"/>
  <c r="D810" i="1"/>
  <c r="D762" i="1"/>
  <c r="D1051" i="1"/>
  <c r="D1019" i="1"/>
  <c r="D987" i="1"/>
  <c r="D955" i="1"/>
  <c r="D923" i="1"/>
  <c r="D891" i="1"/>
  <c r="D859" i="1"/>
  <c r="D827" i="1"/>
  <c r="D978" i="1"/>
  <c r="D850" i="1"/>
  <c r="D982" i="1"/>
  <c r="D813" i="1"/>
  <c r="D747" i="1"/>
  <c r="D683" i="1"/>
  <c r="D619" i="1"/>
  <c r="D894" i="1"/>
  <c r="D776" i="1"/>
  <c r="D712" i="1"/>
  <c r="D648" i="1"/>
  <c r="D599" i="1"/>
  <c r="D974" i="1"/>
  <c r="D745" i="1"/>
  <c r="D617" i="1"/>
  <c r="D551" i="1"/>
  <c r="D487" i="1"/>
  <c r="D423" i="1"/>
  <c r="D838" i="1"/>
  <c r="D650" i="1"/>
  <c r="D512" i="1"/>
  <c r="D430" i="1"/>
  <c r="D350" i="1"/>
  <c r="D1006" i="1"/>
  <c r="D748" i="1"/>
  <c r="D698" i="1"/>
  <c r="D647" i="1"/>
  <c r="D620" i="1"/>
  <c r="D568" i="1"/>
  <c r="D550" i="1"/>
  <c r="D525" i="1"/>
  <c r="D504" i="1"/>
  <c r="D486" i="1"/>
  <c r="D461" i="1"/>
  <c r="D440" i="1"/>
  <c r="D422" i="1"/>
  <c r="D397" i="1"/>
  <c r="D381" i="1"/>
  <c r="D365" i="1"/>
  <c r="D349" i="1"/>
  <c r="D333" i="1"/>
  <c r="D317" i="1"/>
  <c r="D301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966" i="1"/>
  <c r="D759" i="1"/>
  <c r="D689" i="1"/>
  <c r="D606" i="1"/>
  <c r="D531" i="1"/>
  <c r="D496" i="1"/>
  <c r="D453" i="1"/>
  <c r="D403" i="1"/>
  <c r="D378" i="1"/>
  <c r="D346" i="1"/>
  <c r="D314" i="1"/>
  <c r="D39" i="1"/>
  <c r="D23" i="1"/>
  <c r="D11" i="1"/>
  <c r="D3" i="1"/>
  <c r="D998" i="1"/>
  <c r="D556" i="1"/>
  <c r="D492" i="1"/>
  <c r="D435" i="1"/>
  <c r="D375" i="1"/>
  <c r="D306" i="1"/>
  <c r="D27" i="1"/>
  <c r="D4" i="1"/>
  <c r="D780" i="1"/>
  <c r="D610" i="1"/>
  <c r="D520" i="1"/>
  <c r="D420" i="1"/>
  <c r="D369" i="1"/>
  <c r="D305" i="1"/>
  <c r="D262" i="1"/>
  <c r="D234" i="1"/>
  <c r="D202" i="1"/>
  <c r="D170" i="1"/>
  <c r="D142" i="1"/>
  <c r="D114" i="1"/>
  <c r="D82" i="1"/>
  <c r="D50" i="1"/>
  <c r="D1020" i="1"/>
  <c r="D803" i="1"/>
  <c r="D716" i="1"/>
  <c r="D615" i="1"/>
  <c r="D552" i="1"/>
  <c r="D509" i="1"/>
  <c r="D459" i="1"/>
  <c r="D424" i="1"/>
  <c r="D377" i="1"/>
  <c r="D1043" i="1"/>
  <c r="D1011" i="1"/>
  <c r="D979" i="1"/>
  <c r="D947" i="1"/>
  <c r="D915" i="1"/>
  <c r="D883" i="1"/>
  <c r="D851" i="1"/>
  <c r="D819" i="1"/>
  <c r="D946" i="1"/>
  <c r="D818" i="1"/>
  <c r="D940" i="1"/>
  <c r="D795" i="1"/>
  <c r="D731" i="1"/>
  <c r="D667" i="1"/>
  <c r="D1022" i="1"/>
  <c r="D852" i="1"/>
  <c r="D760" i="1"/>
  <c r="D696" i="1"/>
  <c r="D632" i="1"/>
  <c r="D591" i="1"/>
  <c r="D888" i="1"/>
  <c r="D713" i="1"/>
  <c r="D600" i="1"/>
  <c r="D535" i="1"/>
  <c r="D471" i="1"/>
  <c r="D407" i="1"/>
  <c r="D778" i="1"/>
  <c r="D582" i="1"/>
  <c r="D494" i="1"/>
  <c r="D405" i="1"/>
  <c r="D334" i="1"/>
  <c r="D892" i="1"/>
  <c r="D719" i="1"/>
  <c r="D690" i="1"/>
  <c r="D641" i="1"/>
  <c r="D602" i="1"/>
  <c r="D564" i="1"/>
  <c r="D539" i="1"/>
  <c r="D521" i="1"/>
  <c r="D500" i="1"/>
  <c r="D475" i="1"/>
  <c r="D457" i="1"/>
  <c r="D436" i="1"/>
  <c r="D411" i="1"/>
  <c r="D393" i="1"/>
  <c r="D376" i="1"/>
  <c r="D360" i="1"/>
  <c r="D344" i="1"/>
  <c r="D328" i="1"/>
  <c r="D312" i="1"/>
  <c r="D296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912" i="1"/>
  <c r="D746" i="1"/>
  <c r="D674" i="1"/>
  <c r="D574" i="1"/>
  <c r="D524" i="1"/>
  <c r="D481" i="1"/>
  <c r="D446" i="1"/>
  <c r="D396" i="1"/>
  <c r="D367" i="1"/>
  <c r="D335" i="1"/>
  <c r="D303" i="1"/>
  <c r="D34" i="1"/>
  <c r="D18" i="1"/>
  <c r="D9" i="1"/>
  <c r="D1" i="1"/>
  <c r="D668" i="1"/>
  <c r="D542" i="1"/>
  <c r="D478" i="1"/>
  <c r="D421" i="1"/>
  <c r="D359" i="1"/>
  <c r="D295" i="1"/>
  <c r="D22" i="1"/>
  <c r="D988" i="1"/>
  <c r="D751" i="1"/>
  <c r="D569" i="1"/>
  <c r="D505" i="1"/>
  <c r="D406" i="1"/>
  <c r="D348" i="1"/>
  <c r="D286" i="1"/>
  <c r="D258" i="1"/>
  <c r="D226" i="1"/>
  <c r="D198" i="1"/>
  <c r="D166" i="1"/>
  <c r="D134" i="1"/>
  <c r="D106" i="1"/>
  <c r="D74" i="1"/>
  <c r="D40" i="1"/>
  <c r="D964" i="1"/>
  <c r="D786" i="1"/>
  <c r="D687" i="1"/>
  <c r="D594" i="1"/>
  <c r="D537" i="1"/>
  <c r="D502" i="1"/>
  <c r="D452" i="1"/>
  <c r="D409" i="1"/>
  <c r="D1035" i="1"/>
  <c r="D1003" i="1"/>
  <c r="D971" i="1"/>
  <c r="D939" i="1"/>
  <c r="D907" i="1"/>
  <c r="D875" i="1"/>
  <c r="D843" i="1"/>
  <c r="D1042" i="1"/>
  <c r="D914" i="1"/>
  <c r="D800" i="1"/>
  <c r="D896" i="1"/>
  <c r="D779" i="1"/>
  <c r="D715" i="1"/>
  <c r="D651" i="1"/>
  <c r="D980" i="1"/>
  <c r="D811" i="1"/>
  <c r="D744" i="1"/>
  <c r="D680" i="1"/>
  <c r="D616" i="1"/>
  <c r="D583" i="1"/>
  <c r="D809" i="1"/>
  <c r="D681" i="1"/>
  <c r="D584" i="1"/>
  <c r="D519" i="1"/>
  <c r="D455" i="1"/>
  <c r="D391" i="1"/>
  <c r="D727" i="1"/>
  <c r="D558" i="1"/>
  <c r="D469" i="1"/>
  <c r="D382" i="1"/>
  <c r="D318" i="1"/>
  <c r="D783" i="1"/>
  <c r="D711" i="1"/>
  <c r="D684" i="1"/>
  <c r="D634" i="1"/>
  <c r="D586" i="1"/>
  <c r="D557" i="1"/>
  <c r="D536" i="1"/>
  <c r="D518" i="1"/>
  <c r="D493" i="1"/>
  <c r="D472" i="1"/>
  <c r="D454" i="1"/>
  <c r="D429" i="1"/>
  <c r="D408" i="1"/>
  <c r="D390" i="1"/>
  <c r="D373" i="1"/>
  <c r="D357" i="1"/>
  <c r="D341" i="1"/>
  <c r="D325" i="1"/>
  <c r="D309" i="1"/>
  <c r="D1027" i="1"/>
  <c r="D995" i="1"/>
  <c r="D963" i="1"/>
  <c r="D931" i="1"/>
  <c r="D899" i="1"/>
  <c r="D882" i="1"/>
  <c r="D699" i="1"/>
  <c r="D728" i="1"/>
  <c r="D777" i="1"/>
  <c r="D439" i="1"/>
  <c r="D448" i="1"/>
  <c r="D705" i="1"/>
  <c r="D553" i="1"/>
  <c r="D468" i="1"/>
  <c r="D384" i="1"/>
  <c r="D320" i="1"/>
  <c r="D285" i="1"/>
  <c r="D269" i="1"/>
  <c r="D253" i="1"/>
  <c r="D237" i="1"/>
  <c r="D221" i="1"/>
  <c r="D205" i="1"/>
  <c r="D189" i="1"/>
  <c r="D173" i="1"/>
  <c r="D157" i="1"/>
  <c r="D141" i="1"/>
  <c r="D125" i="1"/>
  <c r="D109" i="1"/>
  <c r="D93" i="1"/>
  <c r="D77" i="1"/>
  <c r="D61" i="1"/>
  <c r="D45" i="1"/>
  <c r="D732" i="1"/>
  <c r="D560" i="1"/>
  <c r="D467" i="1"/>
  <c r="D389" i="1"/>
  <c r="D330" i="1"/>
  <c r="D31" i="1"/>
  <c r="D7" i="1"/>
  <c r="D639" i="1"/>
  <c r="D464" i="1"/>
  <c r="D338" i="1"/>
  <c r="D12" i="1"/>
  <c r="D737" i="1"/>
  <c r="D491" i="1"/>
  <c r="D337" i="1"/>
  <c r="D250" i="1"/>
  <c r="D190" i="1"/>
  <c r="D130" i="1"/>
  <c r="D66" i="1"/>
  <c r="D902" i="1"/>
  <c r="D673" i="1"/>
  <c r="D523" i="1"/>
  <c r="D445" i="1"/>
  <c r="D372" i="1"/>
  <c r="D340" i="1"/>
  <c r="D308" i="1"/>
  <c r="D284" i="1"/>
  <c r="D268" i="1"/>
  <c r="D252" i="1"/>
  <c r="D236" i="1"/>
  <c r="D220" i="1"/>
  <c r="D204" i="1"/>
  <c r="D188" i="1"/>
  <c r="D172" i="1"/>
  <c r="D156" i="1"/>
  <c r="D140" i="1"/>
  <c r="D124" i="1"/>
  <c r="D108" i="1"/>
  <c r="D92" i="1"/>
  <c r="D76" i="1"/>
  <c r="D60" i="1"/>
  <c r="D44" i="1"/>
  <c r="D25" i="1"/>
  <c r="D828" i="1"/>
  <c r="D738" i="1"/>
  <c r="D563" i="1"/>
  <c r="D428" i="1"/>
  <c r="D343" i="1"/>
  <c r="D30" i="1"/>
  <c r="D6" i="1"/>
  <c r="D722" i="1"/>
  <c r="D578" i="1"/>
  <c r="D470" i="1"/>
  <c r="D413" i="1"/>
  <c r="D332" i="1"/>
  <c r="D282" i="1"/>
  <c r="D246" i="1"/>
  <c r="D214" i="1"/>
  <c r="D182" i="1"/>
  <c r="D146" i="1"/>
  <c r="D110" i="1"/>
  <c r="D78" i="1"/>
  <c r="D46" i="1"/>
  <c r="D16" i="1"/>
  <c r="D867" i="1"/>
  <c r="D1024" i="1"/>
  <c r="D635" i="1"/>
  <c r="D664" i="1"/>
  <c r="D649" i="1"/>
  <c r="D956" i="1"/>
  <c r="D366" i="1"/>
  <c r="D655" i="1"/>
  <c r="D532" i="1"/>
  <c r="D443" i="1"/>
  <c r="D368" i="1"/>
  <c r="D304" i="1"/>
  <c r="D283" i="1"/>
  <c r="D267" i="1"/>
  <c r="D251" i="1"/>
  <c r="D235" i="1"/>
  <c r="D219" i="1"/>
  <c r="D203" i="1"/>
  <c r="D187" i="1"/>
  <c r="D171" i="1"/>
  <c r="D155" i="1"/>
  <c r="D139" i="1"/>
  <c r="D123" i="1"/>
  <c r="D107" i="1"/>
  <c r="D91" i="1"/>
  <c r="D75" i="1"/>
  <c r="D59" i="1"/>
  <c r="D1028" i="1"/>
  <c r="D703" i="1"/>
  <c r="D545" i="1"/>
  <c r="D460" i="1"/>
  <c r="D383" i="1"/>
  <c r="D319" i="1"/>
  <c r="D26" i="1"/>
  <c r="D5" i="1"/>
  <c r="D590" i="1"/>
  <c r="D449" i="1"/>
  <c r="D327" i="1"/>
  <c r="D8" i="1"/>
  <c r="D666" i="1"/>
  <c r="D477" i="1"/>
  <c r="D316" i="1"/>
  <c r="D242" i="1"/>
  <c r="D178" i="1"/>
  <c r="D122" i="1"/>
  <c r="D58" i="1"/>
  <c r="D848" i="1"/>
  <c r="D658" i="1"/>
  <c r="D516" i="1"/>
  <c r="D438" i="1"/>
  <c r="D361" i="1"/>
  <c r="D329" i="1"/>
  <c r="D297" i="1"/>
  <c r="D280" i="1"/>
  <c r="D264" i="1"/>
  <c r="D248" i="1"/>
  <c r="D232" i="1"/>
  <c r="D216" i="1"/>
  <c r="D200" i="1"/>
  <c r="D184" i="1"/>
  <c r="D168" i="1"/>
  <c r="D152" i="1"/>
  <c r="D136" i="1"/>
  <c r="D120" i="1"/>
  <c r="D104" i="1"/>
  <c r="D88" i="1"/>
  <c r="D72" i="1"/>
  <c r="D56" i="1"/>
  <c r="D41" i="1"/>
  <c r="D20" i="1"/>
  <c r="D796" i="1"/>
  <c r="D695" i="1"/>
  <c r="D549" i="1"/>
  <c r="D414" i="1"/>
  <c r="D322" i="1"/>
  <c r="D19" i="1"/>
  <c r="D2" i="1"/>
  <c r="D679" i="1"/>
  <c r="D555" i="1"/>
  <c r="D456" i="1"/>
  <c r="D385" i="1"/>
  <c r="D321" i="1"/>
  <c r="D274" i="1"/>
  <c r="D238" i="1"/>
  <c r="D206" i="1"/>
  <c r="D174" i="1"/>
  <c r="D138" i="1"/>
  <c r="D102" i="1"/>
  <c r="D70" i="1"/>
  <c r="D37" i="1"/>
  <c r="D835" i="1"/>
  <c r="D854" i="1"/>
  <c r="D936" i="1"/>
  <c r="D607" i="1"/>
  <c r="D567" i="1"/>
  <c r="D700" i="1"/>
  <c r="D302" i="1"/>
  <c r="D626" i="1"/>
  <c r="D507" i="1"/>
  <c r="D425" i="1"/>
  <c r="D352" i="1"/>
  <c r="D293" i="1"/>
  <c r="D277" i="1"/>
  <c r="D261" i="1"/>
  <c r="D245" i="1"/>
  <c r="D229" i="1"/>
  <c r="D213" i="1"/>
  <c r="D197" i="1"/>
  <c r="D181" i="1"/>
  <c r="D165" i="1"/>
  <c r="D149" i="1"/>
  <c r="D133" i="1"/>
  <c r="D117" i="1"/>
  <c r="D101" i="1"/>
  <c r="D85" i="1"/>
  <c r="D69" i="1"/>
  <c r="D53" i="1"/>
  <c r="D856" i="1"/>
  <c r="D631" i="1"/>
  <c r="D517" i="1"/>
  <c r="D432" i="1"/>
  <c r="D362" i="1"/>
  <c r="D298" i="1"/>
  <c r="D15" i="1"/>
  <c r="D36" i="1"/>
  <c r="D528" i="1"/>
  <c r="D400" i="1"/>
  <c r="D43" i="1"/>
  <c r="D878" i="1"/>
  <c r="D548" i="1"/>
  <c r="D392" i="1"/>
  <c r="D278" i="1"/>
  <c r="D218" i="1"/>
  <c r="D158" i="1"/>
  <c r="D98" i="1"/>
  <c r="D29" i="1"/>
  <c r="D743" i="1"/>
  <c r="D573" i="1"/>
  <c r="D488" i="1"/>
  <c r="D395" i="1"/>
  <c r="D356" i="1"/>
  <c r="D324" i="1"/>
  <c r="D292" i="1"/>
  <c r="D276" i="1"/>
  <c r="D260" i="1"/>
  <c r="D244" i="1"/>
  <c r="D228" i="1"/>
  <c r="D212" i="1"/>
  <c r="D196" i="1"/>
  <c r="D180" i="1"/>
  <c r="D164" i="1"/>
  <c r="D148" i="1"/>
  <c r="D132" i="1"/>
  <c r="D116" i="1"/>
  <c r="D100" i="1"/>
  <c r="D84" i="1"/>
  <c r="D68" i="1"/>
  <c r="D52" i="1"/>
  <c r="D33" i="1"/>
  <c r="D942" i="1"/>
  <c r="D767" i="1"/>
  <c r="D682" i="1"/>
  <c r="D499" i="1"/>
  <c r="D370" i="1"/>
  <c r="D311" i="1"/>
  <c r="D14" i="1"/>
  <c r="D934" i="1"/>
  <c r="D652" i="1"/>
  <c r="D541" i="1"/>
  <c r="D441" i="1"/>
  <c r="D364" i="1"/>
  <c r="D300" i="1"/>
  <c r="D266" i="1"/>
  <c r="D230" i="1"/>
  <c r="D194" i="1"/>
  <c r="D162" i="1"/>
  <c r="D126" i="1"/>
  <c r="D94" i="1"/>
  <c r="D62" i="1"/>
  <c r="D32" i="1"/>
  <c r="D1010" i="1"/>
  <c r="D763" i="1"/>
  <c r="D792" i="1"/>
  <c r="D575" i="1"/>
  <c r="D503" i="1"/>
  <c r="D533" i="1"/>
  <c r="D754" i="1"/>
  <c r="D571" i="1"/>
  <c r="D489" i="1"/>
  <c r="D404" i="1"/>
  <c r="D336" i="1"/>
  <c r="D291" i="1"/>
  <c r="D275" i="1"/>
  <c r="D259" i="1"/>
  <c r="D243" i="1"/>
  <c r="D227" i="1"/>
  <c r="D211" i="1"/>
  <c r="D195" i="1"/>
  <c r="D179" i="1"/>
  <c r="D163" i="1"/>
  <c r="D147" i="1"/>
  <c r="D131" i="1"/>
  <c r="D115" i="1"/>
  <c r="D99" i="1"/>
  <c r="D83" i="1"/>
  <c r="D67" i="1"/>
  <c r="D51" i="1"/>
  <c r="D805" i="1"/>
  <c r="D618" i="1"/>
  <c r="D510" i="1"/>
  <c r="D417" i="1"/>
  <c r="D351" i="1"/>
  <c r="D42" i="1"/>
  <c r="D13" i="1"/>
  <c r="D17" i="1"/>
  <c r="D513" i="1"/>
  <c r="D386" i="1"/>
  <c r="D38" i="1"/>
  <c r="D816" i="1"/>
  <c r="D534" i="1"/>
  <c r="D380" i="1"/>
  <c r="D270" i="1"/>
  <c r="D210" i="1"/>
  <c r="D150" i="1"/>
  <c r="D90" i="1"/>
  <c r="D24" i="1"/>
  <c r="D730" i="1"/>
  <c r="D566" i="1"/>
  <c r="D473" i="1"/>
  <c r="D388" i="1"/>
  <c r="D345" i="1"/>
  <c r="D313" i="1"/>
  <c r="D288" i="1"/>
  <c r="D272" i="1"/>
  <c r="D256" i="1"/>
  <c r="D240" i="1"/>
  <c r="D224" i="1"/>
  <c r="D208" i="1"/>
  <c r="D192" i="1"/>
  <c r="D176" i="1"/>
  <c r="D160" i="1"/>
  <c r="D144" i="1"/>
  <c r="D128" i="1"/>
  <c r="D112" i="1"/>
  <c r="D96" i="1"/>
  <c r="D80" i="1"/>
  <c r="D64" i="1"/>
  <c r="D48" i="1"/>
  <c r="D28" i="1"/>
  <c r="D880" i="1"/>
  <c r="D753" i="1"/>
  <c r="D625" i="1"/>
  <c r="D485" i="1"/>
  <c r="D354" i="1"/>
  <c r="D35" i="1"/>
  <c r="D10" i="1"/>
  <c r="D794" i="1"/>
  <c r="D623" i="1"/>
  <c r="D484" i="1"/>
  <c r="D427" i="1"/>
  <c r="D353" i="1"/>
  <c r="D290" i="1"/>
  <c r="D254" i="1"/>
  <c r="D222" i="1"/>
  <c r="D186" i="1"/>
  <c r="D154" i="1"/>
  <c r="D118" i="1"/>
  <c r="D86" i="1"/>
  <c r="D54" i="1"/>
  <c r="D21" i="1"/>
  <c r="E21" i="1" l="1"/>
  <c r="E54" i="1"/>
  <c r="E86" i="1"/>
  <c r="E118" i="1"/>
  <c r="E154" i="1"/>
  <c r="E186" i="1"/>
  <c r="E222" i="1"/>
  <c r="E254" i="1"/>
  <c r="E290" i="1"/>
  <c r="E353" i="1"/>
  <c r="E427" i="1"/>
  <c r="E484" i="1"/>
  <c r="E623" i="1"/>
  <c r="E794" i="1"/>
  <c r="E10" i="1"/>
  <c r="E35" i="1"/>
  <c r="E354" i="1"/>
  <c r="E485" i="1"/>
  <c r="E625" i="1"/>
  <c r="E753" i="1"/>
  <c r="E880" i="1"/>
  <c r="E28" i="1"/>
  <c r="E48" i="1"/>
  <c r="E64" i="1"/>
  <c r="E80" i="1"/>
  <c r="E96" i="1"/>
  <c r="E112" i="1"/>
  <c r="E128" i="1"/>
  <c r="E144" i="1"/>
  <c r="E160" i="1"/>
  <c r="E176" i="1"/>
  <c r="E192" i="1"/>
  <c r="E208" i="1"/>
  <c r="E224" i="1"/>
  <c r="E240" i="1"/>
  <c r="E256" i="1"/>
  <c r="E272" i="1"/>
  <c r="E288" i="1"/>
  <c r="E313" i="1"/>
  <c r="E345" i="1"/>
  <c r="E388" i="1"/>
  <c r="E473" i="1"/>
  <c r="E566" i="1"/>
  <c r="E730" i="1"/>
  <c r="E24" i="1"/>
  <c r="E90" i="1"/>
  <c r="E150" i="1"/>
  <c r="E210" i="1"/>
  <c r="E270" i="1"/>
  <c r="E380" i="1"/>
  <c r="E534" i="1"/>
  <c r="E816" i="1"/>
  <c r="E38" i="1"/>
  <c r="E386" i="1"/>
  <c r="E513" i="1"/>
  <c r="E17" i="1"/>
  <c r="E13" i="1"/>
  <c r="E42" i="1"/>
  <c r="E351" i="1"/>
  <c r="E417" i="1"/>
  <c r="E510" i="1"/>
  <c r="E618" i="1"/>
  <c r="E805" i="1"/>
  <c r="E51" i="1"/>
  <c r="E67" i="1"/>
  <c r="E83" i="1"/>
  <c r="E99" i="1"/>
  <c r="E115" i="1"/>
  <c r="E131" i="1"/>
  <c r="E147" i="1"/>
  <c r="E163" i="1"/>
  <c r="E179" i="1"/>
  <c r="E195" i="1"/>
  <c r="E211" i="1"/>
  <c r="E227" i="1"/>
  <c r="E243" i="1"/>
  <c r="E259" i="1"/>
  <c r="E275" i="1"/>
  <c r="E291" i="1"/>
  <c r="E336" i="1"/>
  <c r="E404" i="1"/>
  <c r="E489" i="1"/>
  <c r="E571" i="1"/>
  <c r="E754" i="1"/>
  <c r="E533" i="1"/>
  <c r="E503" i="1"/>
  <c r="E575" i="1"/>
  <c r="E792" i="1"/>
  <c r="E763" i="1"/>
  <c r="E1010" i="1"/>
  <c r="E32" i="1"/>
  <c r="E62" i="1"/>
  <c r="E94" i="1"/>
  <c r="E126" i="1"/>
  <c r="E162" i="1"/>
  <c r="E194" i="1"/>
  <c r="E230" i="1"/>
  <c r="E266" i="1"/>
  <c r="E300" i="1"/>
  <c r="E364" i="1"/>
  <c r="E441" i="1"/>
  <c r="E541" i="1"/>
  <c r="E652" i="1"/>
  <c r="E934" i="1"/>
  <c r="E14" i="1"/>
  <c r="E311" i="1"/>
  <c r="E370" i="1"/>
  <c r="E499" i="1"/>
  <c r="E682" i="1"/>
  <c r="E767" i="1"/>
  <c r="E942" i="1"/>
  <c r="E33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24" i="1"/>
  <c r="E356" i="1"/>
  <c r="E395" i="1"/>
  <c r="E488" i="1"/>
  <c r="E573" i="1"/>
  <c r="E743" i="1"/>
  <c r="E29" i="1"/>
  <c r="E98" i="1"/>
  <c r="E158" i="1"/>
  <c r="E218" i="1"/>
  <c r="E278" i="1"/>
  <c r="E392" i="1"/>
  <c r="E548" i="1"/>
  <c r="E878" i="1"/>
  <c r="E43" i="1"/>
  <c r="E400" i="1"/>
  <c r="E528" i="1"/>
  <c r="E36" i="1"/>
  <c r="E15" i="1"/>
  <c r="E298" i="1"/>
  <c r="E362" i="1"/>
  <c r="E432" i="1"/>
  <c r="E517" i="1"/>
  <c r="E631" i="1"/>
  <c r="E856" i="1"/>
  <c r="E53" i="1"/>
  <c r="E69" i="1"/>
  <c r="E85" i="1"/>
  <c r="E101" i="1"/>
  <c r="E117" i="1"/>
  <c r="E133" i="1"/>
  <c r="E149" i="1"/>
  <c r="E165" i="1"/>
  <c r="E181" i="1"/>
  <c r="E197" i="1"/>
  <c r="E213" i="1"/>
  <c r="E229" i="1"/>
  <c r="E245" i="1"/>
  <c r="E261" i="1"/>
  <c r="E277" i="1"/>
  <c r="E293" i="1"/>
  <c r="E352" i="1"/>
  <c r="E425" i="1"/>
  <c r="E507" i="1"/>
  <c r="E626" i="1"/>
  <c r="E302" i="1"/>
  <c r="E700" i="1"/>
  <c r="E567" i="1"/>
  <c r="E607" i="1"/>
  <c r="E936" i="1"/>
  <c r="E854" i="1"/>
  <c r="E835" i="1"/>
  <c r="E37" i="1"/>
  <c r="E70" i="1"/>
  <c r="E102" i="1"/>
  <c r="E138" i="1"/>
  <c r="E174" i="1"/>
  <c r="E206" i="1"/>
  <c r="E238" i="1"/>
  <c r="E274" i="1"/>
  <c r="E321" i="1"/>
  <c r="E385" i="1"/>
  <c r="E456" i="1"/>
  <c r="E555" i="1"/>
  <c r="E679" i="1"/>
  <c r="E2" i="1"/>
  <c r="E19" i="1"/>
  <c r="E322" i="1"/>
  <c r="E414" i="1"/>
  <c r="E549" i="1"/>
  <c r="E695" i="1"/>
  <c r="E796" i="1"/>
  <c r="E20" i="1"/>
  <c r="E41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7" i="1"/>
  <c r="E329" i="1"/>
  <c r="E361" i="1"/>
  <c r="E438" i="1"/>
  <c r="E516" i="1"/>
  <c r="E658" i="1"/>
  <c r="E848" i="1"/>
  <c r="E58" i="1"/>
  <c r="E122" i="1"/>
  <c r="E178" i="1"/>
  <c r="E242" i="1"/>
  <c r="E316" i="1"/>
  <c r="E477" i="1"/>
  <c r="E666" i="1"/>
  <c r="E8" i="1"/>
  <c r="E327" i="1"/>
  <c r="E449" i="1"/>
  <c r="E590" i="1"/>
  <c r="E5" i="1"/>
  <c r="E26" i="1"/>
  <c r="E319" i="1"/>
  <c r="E383" i="1"/>
  <c r="E460" i="1"/>
  <c r="E545" i="1"/>
  <c r="E703" i="1"/>
  <c r="E1028" i="1"/>
  <c r="E59" i="1"/>
  <c r="E75" i="1"/>
  <c r="E91" i="1"/>
  <c r="E107" i="1"/>
  <c r="E123" i="1"/>
  <c r="E139" i="1"/>
  <c r="E155" i="1"/>
  <c r="E171" i="1"/>
  <c r="E187" i="1"/>
  <c r="E203" i="1"/>
  <c r="E219" i="1"/>
  <c r="E235" i="1"/>
  <c r="E251" i="1"/>
  <c r="E267" i="1"/>
  <c r="E283" i="1"/>
  <c r="E304" i="1"/>
  <c r="E368" i="1"/>
  <c r="E443" i="1"/>
  <c r="E532" i="1"/>
  <c r="E655" i="1"/>
  <c r="E366" i="1"/>
  <c r="E956" i="1"/>
  <c r="E649" i="1"/>
  <c r="E664" i="1"/>
  <c r="E635" i="1"/>
  <c r="E1024" i="1"/>
  <c r="E867" i="1"/>
  <c r="E16" i="1"/>
  <c r="E46" i="1"/>
  <c r="E78" i="1"/>
  <c r="E110" i="1"/>
  <c r="E146" i="1"/>
  <c r="E182" i="1"/>
  <c r="E214" i="1"/>
  <c r="E246" i="1"/>
  <c r="E282" i="1"/>
  <c r="E332" i="1"/>
  <c r="E413" i="1"/>
  <c r="E470" i="1"/>
  <c r="E578" i="1"/>
  <c r="E722" i="1"/>
  <c r="E6" i="1"/>
  <c r="E30" i="1"/>
  <c r="E343" i="1"/>
  <c r="E428" i="1"/>
  <c r="E563" i="1"/>
  <c r="E738" i="1"/>
  <c r="E828" i="1"/>
  <c r="E25" i="1"/>
  <c r="E44" i="1"/>
  <c r="E60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8" i="1"/>
  <c r="E340" i="1"/>
  <c r="E372" i="1"/>
  <c r="E445" i="1"/>
  <c r="E523" i="1"/>
  <c r="E673" i="1"/>
  <c r="E902" i="1"/>
  <c r="E66" i="1"/>
  <c r="E130" i="1"/>
  <c r="E190" i="1"/>
  <c r="E250" i="1"/>
  <c r="E337" i="1"/>
  <c r="E491" i="1"/>
  <c r="E737" i="1"/>
  <c r="E12" i="1"/>
  <c r="E338" i="1"/>
  <c r="E464" i="1"/>
  <c r="E639" i="1"/>
  <c r="E7" i="1"/>
  <c r="E31" i="1"/>
  <c r="E330" i="1"/>
  <c r="E389" i="1"/>
  <c r="E467" i="1"/>
  <c r="E560" i="1"/>
  <c r="E732" i="1"/>
  <c r="E45" i="1"/>
  <c r="E6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285" i="1"/>
  <c r="E320" i="1"/>
  <c r="E384" i="1"/>
  <c r="E468" i="1"/>
  <c r="E553" i="1"/>
  <c r="E705" i="1"/>
  <c r="E448" i="1"/>
  <c r="E439" i="1"/>
  <c r="E777" i="1"/>
  <c r="E728" i="1"/>
  <c r="E699" i="1"/>
  <c r="E882" i="1"/>
  <c r="E899" i="1"/>
  <c r="E931" i="1"/>
  <c r="E963" i="1"/>
  <c r="E995" i="1"/>
  <c r="E1027" i="1"/>
  <c r="E309" i="1"/>
  <c r="E325" i="1"/>
  <c r="E341" i="1"/>
  <c r="E357" i="1"/>
  <c r="E373" i="1"/>
  <c r="E390" i="1"/>
  <c r="E408" i="1"/>
  <c r="E429" i="1"/>
  <c r="E454" i="1"/>
  <c r="E472" i="1"/>
  <c r="E493" i="1"/>
  <c r="E518" i="1"/>
  <c r="E536" i="1"/>
  <c r="E557" i="1"/>
  <c r="E586" i="1"/>
  <c r="E634" i="1"/>
  <c r="E684" i="1"/>
  <c r="E711" i="1"/>
  <c r="E783" i="1"/>
  <c r="E318" i="1"/>
  <c r="E382" i="1"/>
  <c r="E469" i="1"/>
  <c r="E558" i="1"/>
  <c r="E727" i="1"/>
  <c r="E391" i="1"/>
  <c r="E455" i="1"/>
  <c r="E519" i="1"/>
  <c r="E584" i="1"/>
  <c r="E681" i="1"/>
  <c r="E809" i="1"/>
  <c r="E583" i="1"/>
  <c r="E616" i="1"/>
  <c r="E680" i="1"/>
  <c r="E744" i="1"/>
  <c r="E811" i="1"/>
  <c r="E980" i="1"/>
  <c r="E651" i="1"/>
  <c r="E715" i="1"/>
  <c r="E779" i="1"/>
  <c r="E896" i="1"/>
  <c r="E800" i="1"/>
  <c r="E914" i="1"/>
  <c r="E1042" i="1"/>
  <c r="E843" i="1"/>
  <c r="E875" i="1"/>
  <c r="E907" i="1"/>
  <c r="E939" i="1"/>
  <c r="E971" i="1"/>
  <c r="E1003" i="1"/>
  <c r="E1035" i="1"/>
  <c r="E409" i="1"/>
  <c r="E452" i="1"/>
  <c r="E502" i="1"/>
  <c r="E537" i="1"/>
  <c r="E594" i="1"/>
  <c r="E687" i="1"/>
  <c r="E786" i="1"/>
  <c r="E964" i="1"/>
  <c r="E40" i="1"/>
  <c r="E74" i="1"/>
  <c r="E106" i="1"/>
  <c r="E134" i="1"/>
  <c r="E166" i="1"/>
  <c r="E198" i="1"/>
  <c r="E226" i="1"/>
  <c r="E258" i="1"/>
  <c r="E286" i="1"/>
  <c r="E348" i="1"/>
  <c r="E406" i="1"/>
  <c r="E505" i="1"/>
  <c r="E569" i="1"/>
  <c r="E751" i="1"/>
  <c r="E988" i="1"/>
  <c r="E22" i="1"/>
  <c r="E295" i="1"/>
  <c r="E359" i="1"/>
  <c r="E421" i="1"/>
  <c r="E478" i="1"/>
  <c r="E542" i="1"/>
  <c r="E668" i="1"/>
  <c r="E1" i="1"/>
  <c r="E9" i="1"/>
  <c r="E18" i="1"/>
  <c r="E34" i="1"/>
  <c r="E303" i="1"/>
  <c r="E335" i="1"/>
  <c r="E367" i="1"/>
  <c r="E396" i="1"/>
  <c r="E446" i="1"/>
  <c r="E481" i="1"/>
  <c r="E524" i="1"/>
  <c r="E574" i="1"/>
  <c r="E674" i="1"/>
  <c r="E746" i="1"/>
  <c r="E912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6" i="1"/>
  <c r="E312" i="1"/>
  <c r="E328" i="1"/>
  <c r="E344" i="1"/>
  <c r="E360" i="1"/>
  <c r="E376" i="1"/>
  <c r="E393" i="1"/>
  <c r="E411" i="1"/>
  <c r="E436" i="1"/>
  <c r="E457" i="1"/>
  <c r="E475" i="1"/>
  <c r="E500" i="1"/>
  <c r="E521" i="1"/>
  <c r="E539" i="1"/>
  <c r="E564" i="1"/>
  <c r="E602" i="1"/>
  <c r="E641" i="1"/>
  <c r="E690" i="1"/>
  <c r="E719" i="1"/>
  <c r="E892" i="1"/>
  <c r="E334" i="1"/>
  <c r="E405" i="1"/>
  <c r="E494" i="1"/>
  <c r="E582" i="1"/>
  <c r="E778" i="1"/>
  <c r="E407" i="1"/>
  <c r="E471" i="1"/>
  <c r="E535" i="1"/>
  <c r="E600" i="1"/>
  <c r="E713" i="1"/>
  <c r="E888" i="1"/>
  <c r="E591" i="1"/>
  <c r="E632" i="1"/>
  <c r="E696" i="1"/>
  <c r="E760" i="1"/>
  <c r="E852" i="1"/>
  <c r="E1022" i="1"/>
  <c r="E667" i="1"/>
  <c r="E731" i="1"/>
  <c r="E795" i="1"/>
  <c r="E940" i="1"/>
  <c r="E818" i="1"/>
  <c r="E946" i="1"/>
  <c r="E819" i="1"/>
  <c r="E851" i="1"/>
  <c r="E883" i="1"/>
  <c r="E915" i="1"/>
  <c r="E947" i="1"/>
  <c r="E979" i="1"/>
  <c r="E1011" i="1"/>
  <c r="E1043" i="1"/>
  <c r="E377" i="1"/>
  <c r="E424" i="1"/>
  <c r="E459" i="1"/>
  <c r="E509" i="1"/>
  <c r="E552" i="1"/>
  <c r="E615" i="1"/>
  <c r="E716" i="1"/>
  <c r="E803" i="1"/>
  <c r="E1020" i="1"/>
  <c r="E50" i="1"/>
  <c r="E82" i="1"/>
  <c r="E114" i="1"/>
  <c r="E142" i="1"/>
  <c r="E170" i="1"/>
  <c r="E202" i="1"/>
  <c r="E234" i="1"/>
  <c r="E262" i="1"/>
  <c r="E305" i="1"/>
  <c r="E369" i="1"/>
  <c r="E420" i="1"/>
  <c r="E520" i="1"/>
  <c r="E610" i="1"/>
  <c r="E780" i="1"/>
  <c r="E4" i="1"/>
  <c r="E27" i="1"/>
  <c r="E306" i="1"/>
  <c r="E375" i="1"/>
  <c r="E435" i="1"/>
  <c r="E492" i="1"/>
  <c r="E556" i="1"/>
  <c r="E998" i="1"/>
  <c r="E3" i="1"/>
  <c r="E11" i="1"/>
  <c r="E23" i="1"/>
  <c r="E39" i="1"/>
  <c r="E314" i="1"/>
  <c r="E346" i="1"/>
  <c r="E378" i="1"/>
  <c r="E403" i="1"/>
  <c r="E453" i="1"/>
  <c r="E496" i="1"/>
  <c r="E531" i="1"/>
  <c r="E606" i="1"/>
  <c r="E689" i="1"/>
  <c r="E759" i="1"/>
  <c r="E966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301" i="1"/>
  <c r="E317" i="1"/>
  <c r="E333" i="1"/>
  <c r="E349" i="1"/>
  <c r="E365" i="1"/>
  <c r="E381" i="1"/>
  <c r="E397" i="1"/>
  <c r="E422" i="1"/>
  <c r="E440" i="1"/>
  <c r="E461" i="1"/>
  <c r="E486" i="1"/>
  <c r="E504" i="1"/>
  <c r="E525" i="1"/>
  <c r="E550" i="1"/>
  <c r="E568" i="1"/>
  <c r="E620" i="1"/>
  <c r="E647" i="1"/>
  <c r="E698" i="1"/>
  <c r="E748" i="1"/>
  <c r="E1006" i="1"/>
  <c r="E350" i="1"/>
  <c r="E430" i="1"/>
  <c r="E512" i="1"/>
  <c r="E650" i="1"/>
  <c r="E838" i="1"/>
  <c r="E423" i="1"/>
  <c r="E487" i="1"/>
  <c r="E551" i="1"/>
  <c r="E617" i="1"/>
  <c r="E745" i="1"/>
  <c r="E974" i="1"/>
  <c r="E599" i="1"/>
  <c r="E648" i="1"/>
  <c r="E712" i="1"/>
  <c r="E776" i="1"/>
  <c r="E894" i="1"/>
  <c r="E619" i="1"/>
  <c r="E683" i="1"/>
  <c r="E747" i="1"/>
  <c r="E813" i="1"/>
  <c r="E982" i="1"/>
  <c r="E850" i="1"/>
  <c r="E978" i="1"/>
  <c r="E827" i="1"/>
  <c r="E859" i="1"/>
  <c r="E891" i="1"/>
  <c r="E923" i="1"/>
  <c r="E955" i="1"/>
  <c r="E987" i="1"/>
  <c r="E1019" i="1"/>
  <c r="E1051" i="1"/>
  <c r="E762" i="1"/>
  <c r="E810" i="1"/>
  <c r="E920" i="1"/>
  <c r="E1030" i="1"/>
  <c r="E307" i="1"/>
  <c r="E323" i="1"/>
  <c r="E339" i="1"/>
  <c r="E355" i="1"/>
  <c r="E371" i="1"/>
  <c r="E387" i="1"/>
  <c r="E412" i="1"/>
  <c r="E433" i="1"/>
  <c r="E451" i="1"/>
  <c r="E476" i="1"/>
  <c r="E497" i="1"/>
  <c r="E515" i="1"/>
  <c r="E540" i="1"/>
  <c r="E561" i="1"/>
  <c r="E598" i="1"/>
  <c r="E657" i="1"/>
  <c r="E706" i="1"/>
  <c r="E735" i="1"/>
  <c r="E785" i="1"/>
  <c r="E870" i="1"/>
  <c r="E984" i="1"/>
  <c r="E394" i="1"/>
  <c r="E410" i="1"/>
  <c r="E426" i="1"/>
  <c r="E442" i="1"/>
  <c r="E458" i="1"/>
  <c r="E474" i="1"/>
  <c r="E490" i="1"/>
  <c r="E506" i="1"/>
  <c r="E522" i="1"/>
  <c r="E538" i="1"/>
  <c r="E554" i="1"/>
  <c r="E570" i="1"/>
  <c r="E588" i="1"/>
  <c r="E604" i="1"/>
  <c r="E628" i="1"/>
  <c r="E660" i="1"/>
  <c r="E692" i="1"/>
  <c r="E724" i="1"/>
  <c r="E756" i="1"/>
  <c r="E788" i="1"/>
  <c r="E824" i="1"/>
  <c r="E910" i="1"/>
  <c r="E996" i="1"/>
  <c r="E577" i="1"/>
  <c r="E585" i="1"/>
  <c r="E593" i="1"/>
  <c r="E601" i="1"/>
  <c r="E609" i="1"/>
  <c r="E621" i="1"/>
  <c r="E637" i="1"/>
  <c r="E653" i="1"/>
  <c r="E669" i="1"/>
  <c r="E685" i="1"/>
  <c r="E701" i="1"/>
  <c r="E717" i="1"/>
  <c r="E733" i="1"/>
  <c r="E749" i="1"/>
  <c r="E765" i="1"/>
  <c r="E781" i="1"/>
  <c r="E797" i="1"/>
  <c r="E820" i="1"/>
  <c r="E862" i="1"/>
  <c r="E904" i="1"/>
  <c r="E948" i="1"/>
  <c r="E990" i="1"/>
  <c r="E1032" i="1"/>
  <c r="E622" i="1"/>
  <c r="E638" i="1"/>
  <c r="E654" i="1"/>
  <c r="E670" i="1"/>
  <c r="E686" i="1"/>
  <c r="E702" i="1"/>
  <c r="E718" i="1"/>
  <c r="E734" i="1"/>
  <c r="E750" i="1"/>
  <c r="E766" i="1"/>
  <c r="E782" i="1"/>
  <c r="E798" i="1"/>
  <c r="E822" i="1"/>
  <c r="E864" i="1"/>
  <c r="E908" i="1"/>
  <c r="E950" i="1"/>
  <c r="E992" i="1"/>
  <c r="E1036" i="1"/>
  <c r="E804" i="1"/>
  <c r="E826" i="1"/>
  <c r="E858" i="1"/>
  <c r="E890" i="1"/>
  <c r="E922" i="1"/>
  <c r="E954" i="1"/>
  <c r="E986" i="1"/>
  <c r="E1018" i="1"/>
  <c r="E1050" i="1"/>
  <c r="E821" i="1"/>
  <c r="E829" i="1"/>
  <c r="E837" i="1"/>
  <c r="E845" i="1"/>
  <c r="E85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E973" i="1"/>
  <c r="E981" i="1"/>
  <c r="E989" i="1"/>
  <c r="E997" i="1"/>
  <c r="E1005" i="1"/>
  <c r="E1013" i="1"/>
  <c r="E1021" i="1"/>
  <c r="E1029" i="1"/>
  <c r="E1037" i="1"/>
  <c r="E1045" i="1"/>
  <c r="E769" i="1"/>
  <c r="E836" i="1"/>
  <c r="E944" i="1"/>
  <c r="E294" i="1"/>
  <c r="E310" i="1"/>
  <c r="E326" i="1"/>
  <c r="E342" i="1"/>
  <c r="E358" i="1"/>
  <c r="E374" i="1"/>
  <c r="E398" i="1"/>
  <c r="E416" i="1"/>
  <c r="E437" i="1"/>
  <c r="E462" i="1"/>
  <c r="E480" i="1"/>
  <c r="E501" i="1"/>
  <c r="E526" i="1"/>
  <c r="E544" i="1"/>
  <c r="E565" i="1"/>
  <c r="E636" i="1"/>
  <c r="E663" i="1"/>
  <c r="E714" i="1"/>
  <c r="E764" i="1"/>
  <c r="E791" i="1"/>
  <c r="E900" i="1"/>
  <c r="E1008" i="1"/>
  <c r="E399" i="1"/>
  <c r="E415" i="1"/>
  <c r="E431" i="1"/>
  <c r="E447" i="1"/>
  <c r="E463" i="1"/>
  <c r="E479" i="1"/>
  <c r="E495" i="1"/>
  <c r="E511" i="1"/>
  <c r="E527" i="1"/>
  <c r="E543" i="1"/>
  <c r="E559" i="1"/>
  <c r="E576" i="1"/>
  <c r="E592" i="1"/>
  <c r="E608" i="1"/>
  <c r="E633" i="1"/>
  <c r="E665" i="1"/>
  <c r="E697" i="1"/>
  <c r="E729" i="1"/>
  <c r="E761" i="1"/>
  <c r="E793" i="1"/>
  <c r="E846" i="1"/>
  <c r="E932" i="1"/>
  <c r="E1016" i="1"/>
  <c r="E579" i="1"/>
  <c r="E587" i="1"/>
  <c r="E595" i="1"/>
  <c r="E603" i="1"/>
  <c r="E611" i="1"/>
  <c r="E624" i="1"/>
  <c r="E640" i="1"/>
  <c r="E656" i="1"/>
  <c r="E672" i="1"/>
  <c r="E688" i="1"/>
  <c r="E704" i="1"/>
  <c r="E720" i="1"/>
  <c r="E736" i="1"/>
  <c r="E752" i="1"/>
  <c r="E768" i="1"/>
  <c r="E784" i="1"/>
  <c r="E801" i="1"/>
  <c r="E830" i="1"/>
  <c r="E872" i="1"/>
  <c r="E916" i="1"/>
  <c r="E958" i="1"/>
  <c r="E1000" i="1"/>
  <c r="E1044" i="1"/>
  <c r="E627" i="1"/>
  <c r="E643" i="1"/>
  <c r="E659" i="1"/>
  <c r="E675" i="1"/>
  <c r="E691" i="1"/>
  <c r="E707" i="1"/>
  <c r="E723" i="1"/>
  <c r="E739" i="1"/>
  <c r="E755" i="1"/>
  <c r="E771" i="1"/>
  <c r="E787" i="1"/>
  <c r="E802" i="1"/>
  <c r="E832" i="1"/>
  <c r="E876" i="1"/>
  <c r="E918" i="1"/>
  <c r="E960" i="1"/>
  <c r="E1004" i="1"/>
  <c r="E1046" i="1"/>
  <c r="E808" i="1"/>
  <c r="E834" i="1"/>
  <c r="E866" i="1"/>
  <c r="E898" i="1"/>
  <c r="E930" i="1"/>
  <c r="E962" i="1"/>
  <c r="E994" i="1"/>
  <c r="E1026" i="1"/>
  <c r="E815" i="1"/>
  <c r="E823" i="1"/>
  <c r="E831" i="1"/>
  <c r="E839" i="1"/>
  <c r="E847" i="1"/>
  <c r="E855" i="1"/>
  <c r="E863" i="1"/>
  <c r="E871" i="1"/>
  <c r="E879" i="1"/>
  <c r="E887" i="1"/>
  <c r="E895" i="1"/>
  <c r="E903" i="1"/>
  <c r="E911" i="1"/>
  <c r="E919" i="1"/>
  <c r="E927" i="1"/>
  <c r="E935" i="1"/>
  <c r="E943" i="1"/>
  <c r="E951" i="1"/>
  <c r="E959" i="1"/>
  <c r="E967" i="1"/>
  <c r="E975" i="1"/>
  <c r="E983" i="1"/>
  <c r="E991" i="1"/>
  <c r="E999" i="1"/>
  <c r="E1007" i="1"/>
  <c r="E1015" i="1"/>
  <c r="E1023" i="1"/>
  <c r="E1031" i="1"/>
  <c r="E1039" i="1"/>
  <c r="E1047" i="1"/>
  <c r="E775" i="1"/>
  <c r="E860" i="1"/>
  <c r="E976" i="1"/>
  <c r="E299" i="1"/>
  <c r="E315" i="1"/>
  <c r="E331" i="1"/>
  <c r="E347" i="1"/>
  <c r="E363" i="1"/>
  <c r="E379" i="1"/>
  <c r="E401" i="1"/>
  <c r="E419" i="1"/>
  <c r="E444" i="1"/>
  <c r="E465" i="1"/>
  <c r="E483" i="1"/>
  <c r="E508" i="1"/>
  <c r="E529" i="1"/>
  <c r="E547" i="1"/>
  <c r="E572" i="1"/>
  <c r="E642" i="1"/>
  <c r="E671" i="1"/>
  <c r="E721" i="1"/>
  <c r="E770" i="1"/>
  <c r="E814" i="1"/>
  <c r="E924" i="1"/>
  <c r="E1040" i="1"/>
  <c r="E402" i="1"/>
  <c r="E418" i="1"/>
  <c r="E434" i="1"/>
  <c r="E450" i="1"/>
  <c r="E466" i="1"/>
  <c r="E482" i="1"/>
  <c r="E498" i="1"/>
  <c r="E514" i="1"/>
  <c r="E530" i="1"/>
  <c r="E546" i="1"/>
  <c r="E562" i="1"/>
  <c r="E580" i="1"/>
  <c r="E596" i="1"/>
  <c r="E612" i="1"/>
  <c r="E644" i="1"/>
  <c r="E676" i="1"/>
  <c r="E708" i="1"/>
  <c r="E740" i="1"/>
  <c r="E772" i="1"/>
  <c r="E799" i="1"/>
  <c r="E868" i="1"/>
  <c r="E952" i="1"/>
  <c r="E1038" i="1"/>
  <c r="E581" i="1"/>
  <c r="E589" i="1"/>
  <c r="E597" i="1"/>
  <c r="E605" i="1"/>
  <c r="E613" i="1"/>
  <c r="E629" i="1"/>
  <c r="E645" i="1"/>
  <c r="E661" i="1"/>
  <c r="E677" i="1"/>
  <c r="E693" i="1"/>
  <c r="E709" i="1"/>
  <c r="E725" i="1"/>
  <c r="E741" i="1"/>
  <c r="E757" i="1"/>
  <c r="E773" i="1"/>
  <c r="E789" i="1"/>
  <c r="E806" i="1"/>
  <c r="E840" i="1"/>
  <c r="E884" i="1"/>
  <c r="E926" i="1"/>
  <c r="E968" i="1"/>
  <c r="E1012" i="1"/>
  <c r="E614" i="1"/>
  <c r="E630" i="1"/>
  <c r="E646" i="1"/>
  <c r="E662" i="1"/>
  <c r="E678" i="1"/>
  <c r="E694" i="1"/>
  <c r="E710" i="1"/>
  <c r="E726" i="1"/>
  <c r="E742" i="1"/>
  <c r="E758" i="1"/>
  <c r="E774" i="1"/>
  <c r="E790" i="1"/>
  <c r="E807" i="1"/>
  <c r="E844" i="1"/>
  <c r="E886" i="1"/>
  <c r="E928" i="1"/>
  <c r="E972" i="1"/>
  <c r="E1014" i="1"/>
  <c r="E1048" i="1"/>
  <c r="E812" i="1"/>
  <c r="E842" i="1"/>
  <c r="E874" i="1"/>
  <c r="E906" i="1"/>
  <c r="E938" i="1"/>
  <c r="E970" i="1"/>
  <c r="E1002" i="1"/>
  <c r="E1034" i="1"/>
  <c r="E817" i="1"/>
  <c r="E825" i="1"/>
  <c r="E833" i="1"/>
  <c r="E841" i="1"/>
  <c r="E849" i="1"/>
  <c r="E857" i="1"/>
  <c r="E865" i="1"/>
  <c r="E873" i="1"/>
  <c r="E881" i="1"/>
  <c r="E889" i="1"/>
  <c r="E897" i="1"/>
  <c r="E905" i="1"/>
  <c r="E913" i="1"/>
  <c r="E921" i="1"/>
  <c r="E929" i="1"/>
  <c r="E937" i="1"/>
  <c r="E945" i="1"/>
  <c r="E953" i="1"/>
  <c r="E961" i="1"/>
  <c r="E969" i="1"/>
  <c r="E977" i="1"/>
  <c r="E985" i="1"/>
  <c r="E993" i="1"/>
  <c r="E1001" i="1"/>
  <c r="E1009" i="1"/>
  <c r="E1017" i="1"/>
  <c r="E1025" i="1"/>
  <c r="E1033" i="1"/>
  <c r="E1041" i="1"/>
  <c r="E1049" i="1"/>
</calcChain>
</file>

<file path=xl/sharedStrings.xml><?xml version="1.0" encoding="utf-8"?>
<sst xmlns="http://schemas.openxmlformats.org/spreadsheetml/2006/main" count="2210" uniqueCount="1714">
  <si>
    <t>ニンテンドースイッチ本体</t>
  </si>
  <si>
    <t>オークション &gt; おもちゃ、ゲーム &gt; ゲーム &gt; テレビゲーム &gt; ニンテンドースイッチ &gt; ニンテンドースイッチ本体</t>
  </si>
  <si>
    <t>ニンテンドースイッチソフト</t>
  </si>
  <si>
    <t>オークション &gt; おもちゃ、ゲーム &gt; ゲーム &gt; テレビゲーム &gt; ニンテンドースイッチ &gt; ニンテンドースイッチソフト</t>
  </si>
  <si>
    <t>ニンテンドースイッチアクセサリー</t>
  </si>
  <si>
    <t>オークション &gt; おもちゃ、ゲーム &gt; ゲーム &gt; テレビゲーム &gt; ニンテンドー</t>
  </si>
  <si>
    <t>ニンテンドークラシックミニ本体</t>
  </si>
  <si>
    <t>オークション &gt; おもちゃ、ゲーム &gt; ゲーム &gt; テレビゲーム &gt; ニンテンドークラシックミニ &gt; ニンテンドークラシックミニ本体</t>
  </si>
  <si>
    <t>ニンテンドークラシックミニアクセサリー</t>
  </si>
  <si>
    <t>オークション &gt; おもちゃ、ゲーム &gt; ゲーム &gt; テレビゲーム &gt; ニンテンドークラシックミニ &gt; ニンテンドークラシックミニアクセサリー</t>
  </si>
  <si>
    <t>ニンテンドー3DS LL本体</t>
  </si>
  <si>
    <t>オークション &gt; おもちゃ、ゲーム &gt; ゲーム &gt; テレビゲーム &gt; ニンテンドー3DS &gt; ニンテンドー3DS LL本体</t>
  </si>
  <si>
    <t>ニンテンドー3DS本体</t>
  </si>
  <si>
    <t>オークション &gt; おもちゃ、ゲーム &gt; ゲーム &gt; テレビゲーム &gt; ニンテンドー3DS &gt; ニンテンドー3DS本体</t>
  </si>
  <si>
    <t>ニンテンドー3DS専用ソフト</t>
  </si>
  <si>
    <t>オークション &gt; おもちゃ、ゲーム &gt; ゲーム &gt; テレビゲーム &gt; ニンテンドー3DS &gt; ニンテンドー3DS専用ソフト</t>
  </si>
  <si>
    <t>ニンテンドーDS用ソフト</t>
  </si>
  <si>
    <t>オークション &gt; おもちゃ、ゲーム &gt; ゲーム &gt; テレビゲーム &gt; ニンテンドー3DS &gt; ニンテンドーDS用ソフト</t>
  </si>
  <si>
    <t>アクセサリ、周辺機器</t>
  </si>
  <si>
    <t>オークション &gt; おもちゃ、ゲーム &gt; ゲーム &gt; テレビゲーム &gt; ニンテンドー3DS &gt; アクセサリ、周辺機器</t>
  </si>
  <si>
    <t>ニンテンドーDS本体</t>
  </si>
  <si>
    <t>オークション &gt; おもちゃ、ゲーム &gt; ゲーム &gt; テレビゲーム &gt; ニンテンドーDS &gt; ニンテンドーDS本体</t>
  </si>
  <si>
    <t>ニンテンドーDSソフト</t>
  </si>
  <si>
    <t>オークション &gt; おもちゃ、ゲーム &gt; ゲーム &gt; テレビゲーム &gt; ニンテンドーDS &gt; ニンテンドーDSソフト</t>
  </si>
  <si>
    <t>オークション &gt; おもちゃ、ゲーム &gt; ゲーム &gt; テレビゲーム &gt; ニンテンドーDS &gt; アクセサリ、周辺機器</t>
  </si>
  <si>
    <t>Wii U本体</t>
  </si>
  <si>
    <t>オークション &gt; おもちゃ、ゲーム &gt; ゲーム &gt; テレビゲーム &gt; Wii U &gt; Wii U本体</t>
  </si>
  <si>
    <t>Wii U専用ソフト</t>
  </si>
  <si>
    <t>オークション &gt; おもちゃ、ゲーム &gt; ゲーム &gt; テレビゲーム &gt; Wii U &gt; Wii U専用ソフト</t>
  </si>
  <si>
    <t>Wii用ソフト</t>
  </si>
  <si>
    <t>オークション &gt; おもちゃ、ゲーム &gt; ゲーム &gt; テレビゲーム &gt; Wii U &gt; Wii用ソフト</t>
  </si>
  <si>
    <t>オークション &gt; おもちゃ、ゲーム &gt; ゲーム &gt; テレビゲーム &gt; Wii U &gt; アクセサリ、周辺機器</t>
  </si>
  <si>
    <t>Wii本体</t>
  </si>
  <si>
    <t>オークション &gt; おもちゃ、ゲーム &gt; ゲーム &gt; テレビゲーム &gt; Wii &gt; Wii本体</t>
  </si>
  <si>
    <t>Wiiソフト</t>
  </si>
  <si>
    <t>オークション &gt; おもちゃ、ゲーム &gt; ゲーム &gt; テレビゲーム &gt; Wii &gt; Wiiソフト</t>
  </si>
  <si>
    <t>オークション &gt; おもちゃ、ゲーム &gt; ゲーム &gt; テレビゲーム &gt; Wii &gt; アクセサリ、周辺機器</t>
  </si>
  <si>
    <t>PS Vita本体</t>
  </si>
  <si>
    <t>オークション &gt; おもちゃ、ゲーム &gt; ゲーム &gt; テレビゲーム &gt; PS Vita &gt; PS Vita本体</t>
  </si>
  <si>
    <t>PS Vitaソフト</t>
  </si>
  <si>
    <t>オークション &gt; おもちゃ、ゲーム &gt; ゲーム &gt; テレビゲーム &gt; PS Vita &gt; PS Vitaソフト</t>
  </si>
  <si>
    <t>アクセサリー、周辺機器</t>
  </si>
  <si>
    <t>オークション &gt; おもちゃ、ゲーム &gt; ゲーム &gt; テレビゲーム &gt; PS Vita &gt; アクセサリー、周辺機器</t>
  </si>
  <si>
    <t>PSP本体</t>
  </si>
  <si>
    <t>オークション &gt; おもちゃ、ゲーム &gt; ゲーム &gt; テレビゲーム &gt; PSP（プレイステーション・ポータブル） &gt; PSP本体</t>
  </si>
  <si>
    <t>PSPソフト</t>
  </si>
  <si>
    <t>オークション &gt; おもちゃ、ゲーム &gt; ゲーム &gt; テレビゲーム &gt; PSP（プレイステーション・ポータブル） &gt; PSPソフト</t>
  </si>
  <si>
    <t>オークション &gt; おもちゃ、ゲーム &gt; ゲーム &gt; テレビゲーム &gt; PSP（プレイステーション・ポータブル） &gt; アクセサリ、周辺機器</t>
  </si>
  <si>
    <t>PS4本体</t>
  </si>
  <si>
    <t>オークション &gt; おもちゃ、ゲーム &gt; ゲーム &gt; テレビゲーム &gt; プレイステーション4 &gt; PS4本体</t>
  </si>
  <si>
    <t>PS4ソフト</t>
  </si>
  <si>
    <t>オークション &gt; おもちゃ、ゲーム &gt; ゲーム &gt; テレビゲーム &gt; プレイステーション4 &gt; PS4ソフト</t>
  </si>
  <si>
    <t>PSVR</t>
  </si>
  <si>
    <t>オークション &gt; おもちゃ、ゲーム &gt; ゲーム &gt; テレビゲーム &gt; プレイステーション4 &gt; PSVR</t>
  </si>
  <si>
    <t>オークション &gt; おもちゃ、ゲーム &gt; ゲーム &gt; テレビゲーム &gt; プレイステーション4 &gt; アクセサリ、周辺機器</t>
  </si>
  <si>
    <t>PS3本体</t>
  </si>
  <si>
    <t>オークション &gt; おもちゃ、ゲーム &gt; ゲーム &gt; テレビゲーム &gt; プレイステーション 3 &gt; PS3本体</t>
  </si>
  <si>
    <t>PS3ソフト</t>
  </si>
  <si>
    <t>オークション &gt; おもちゃ、ゲーム &gt; ゲーム &gt; テレビゲーム &gt; プレイステーション 3 &gt; PS3ソフト</t>
  </si>
  <si>
    <t>オークション &gt; おもちゃ、ゲーム &gt; ゲーム &gt; テレビゲーム &gt; プレイステーション 3 &gt; アクセサリ、周辺機器</t>
  </si>
  <si>
    <t>タイトル</t>
  </si>
  <si>
    <t>オークション &gt; おもちゃ、ゲーム &gt; ゲーム &gt; テレビゲーム &gt; プレイステーション2 &gt; タイトル</t>
  </si>
  <si>
    <t>本体、アクセサリー</t>
  </si>
  <si>
    <t>オークション &gt; おもちゃ、ゲーム &gt; ゲーム &gt; テレビゲーム &gt; プレイステーション2 &gt; 本体、アクセサリー</t>
  </si>
  <si>
    <t>Xbox One本体</t>
  </si>
  <si>
    <t>オークション &gt; おもちゃ、ゲーム &gt; ゲーム &gt; テレビゲーム &gt; Xbox One &gt; Xbox One本体</t>
  </si>
  <si>
    <t>Xbox Oneソフト</t>
  </si>
  <si>
    <t>オークション &gt; おもちゃ、ゲーム &gt; ゲーム &gt; テレビゲーム &gt; Xbox One &gt; Xbox Oneソフト</t>
  </si>
  <si>
    <t>オークション &gt; おもちゃ、ゲーム &gt; ゲーム &gt; テレビゲーム &gt; Xbox One &gt; アクセサリ、周辺機器</t>
  </si>
  <si>
    <t>Xbox360本体</t>
  </si>
  <si>
    <t>オークション &gt; おもちゃ、ゲーム &gt; ゲーム &gt; テレビゲーム &gt; Xbox 360 &gt; Xbox360本体</t>
  </si>
  <si>
    <t>Xbox360ソフト</t>
  </si>
  <si>
    <t>オークション &gt; おもちゃ、ゲーム &gt; ゲーム &gt; テレビゲーム &gt; Xbox 360 &gt; Xbox360ソフト</t>
  </si>
  <si>
    <t>オークション &gt; おもちゃ、ゲーム &gt; ゲーム &gt; テレビゲーム &gt; Xbox 360 &gt; アクセサリ、 周辺機器</t>
  </si>
  <si>
    <t>本体</t>
  </si>
  <si>
    <t>オークション &gt; おもちゃ、ゲーム &gt; ゲーム &gt; テレビゲーム &gt; プレイステーション &gt; 本体</t>
  </si>
  <si>
    <t>オークション &gt; おもちゃ、ゲーム &gt; ゲーム &gt; テレビゲーム &gt; プレイステーション &gt; タイトル</t>
  </si>
  <si>
    <t>オークション &gt; おもちゃ、ゲーム &gt; ゲーム &gt; テレビゲーム &gt; プレイステーション &gt; アクセサリー、周辺機器</t>
  </si>
  <si>
    <t>オークション &gt; おもちゃ、ゲーム &gt; ゲーム &gt; テレビゲーム &gt; ゲームボーイアドバンス &gt; 本体</t>
  </si>
  <si>
    <t>オークション &gt; おもちゃ、ゲーム &gt; ゲーム &gt; テレビゲーム &gt; ゲームボーイアドバンス &gt; タイトル</t>
  </si>
  <si>
    <t>オークション &gt; おもちゃ、ゲーム &gt; ゲーム &gt; テレビゲーム &gt; ゲームボーイアドバンス &gt; アクセサリ、周辺機器</t>
  </si>
  <si>
    <t>オークション &gt; おもちゃ、ゲーム &gt; ゲーム &gt; テレビゲーム &gt; ゲームボーイミクロ &gt; 本体</t>
  </si>
  <si>
    <t>オークション &gt; おもちゃ、ゲーム &gt; ゲーム &gt; テレビゲーム &gt; ゲームボーイミクロ &gt; タイトル</t>
  </si>
  <si>
    <t>オークション &gt; おもちゃ、ゲーム &gt; ゲーム &gt; テレビゲーム &gt; ゲームボーイミクロ &gt; アクセサリ、周辺機器</t>
  </si>
  <si>
    <t>オークション &gt; おもちゃ、ゲーム &gt; ゲーム &gt; テレビゲーム &gt; NINTENDO 64 &gt; タイトル</t>
  </si>
  <si>
    <t>オークション &gt; おもちゃ、ゲーム &gt; ゲーム &gt; テレビゲーム &gt; NINTENDO 64 &gt; 本体、アクセサリー</t>
  </si>
  <si>
    <t>オークション &gt; おもちゃ、ゲーム &gt; ゲーム &gt; テレビゲーム &gt; スーパーファミコン &gt; 本体、アクセサリー</t>
  </si>
  <si>
    <t>オークション &gt; おもちゃ、ゲーム &gt; ゲーム &gt; テレビゲーム &gt; スーパーファミコン &gt; タイトル</t>
  </si>
  <si>
    <t>オークション &gt; おもちゃ、ゲーム &gt; ゲーム &gt; テレビゲーム &gt; ファミコン &gt; タイトル</t>
  </si>
  <si>
    <t>オークション &gt; おもちゃ、ゲーム &gt; ゲーム &gt; テレビゲーム &gt; ファミコン &gt; 本体、アクセサリー</t>
  </si>
  <si>
    <t>オークション &gt; おもちゃ、ゲーム &gt; ゲーム &gt; テレビゲーム &gt; Xbox &gt; 本体</t>
  </si>
  <si>
    <t>ソフトウェア</t>
  </si>
  <si>
    <t>オークション &gt; おもちゃ、ゲーム &gt; ゲーム &gt; テレビゲーム &gt; Xbox &gt; ソフトウェア</t>
  </si>
  <si>
    <t>周辺機器</t>
  </si>
  <si>
    <t>オークション &gt; おもちゃ、ゲーム &gt; ゲーム &gt; テレビゲーム &gt; Xbox &gt; 周辺機器</t>
  </si>
  <si>
    <t>ゲームギア</t>
  </si>
  <si>
    <t>オークション &gt; おもちゃ、ゲーム &gt; ゲーム &gt; テレビゲーム &gt; セガ &gt; ゲームギア</t>
  </si>
  <si>
    <t>サターン</t>
  </si>
  <si>
    <t>オークション &gt; おもちゃ、ゲーム &gt; ゲーム &gt; テレビゲーム &gt; セガ &gt; サターン</t>
  </si>
  <si>
    <t>ドリームキャスト</t>
  </si>
  <si>
    <t>オークション &gt; おもちゃ、ゲーム &gt; ゲーム &gt; テレビゲーム &gt; セガ &gt; ドリームキャスト</t>
  </si>
  <si>
    <t>マークIII</t>
  </si>
  <si>
    <t>オークション &gt; おもちゃ、ゲーム &gt; ゲーム &gt; テレビゲーム &gt; セガ &gt; マークIII</t>
  </si>
  <si>
    <t>メガドライブ</t>
  </si>
  <si>
    <t>オークション &gt; おもちゃ、ゲーム &gt; ゲーム &gt; テレビゲーム &gt; セガ &gt; メガドライブ</t>
  </si>
  <si>
    <t>その他</t>
  </si>
  <si>
    <t>オークション &gt; おもちゃ、ゲーム &gt; ゲーム &gt; テレビゲーム &gt; セガ &gt; その他</t>
  </si>
  <si>
    <t>PC-FX</t>
  </si>
  <si>
    <t>オークション &gt; おもちゃ、ゲーム &gt; ゲーム &gt; テレビゲーム &gt; NEC &gt; PC-FX</t>
  </si>
  <si>
    <t>PCエンジン</t>
  </si>
  <si>
    <t>オークション &gt; おもちゃ、ゲーム &gt; ゲーム &gt; テレビゲーム &gt; NEC &gt; PCエンジン</t>
  </si>
  <si>
    <t>PSP（プレイステーション・ポータブル）</t>
  </si>
  <si>
    <t>オークション &gt; おもちゃ、ゲーム &gt; ゲーム &gt; テレビゲーム &gt; 携帯型 &gt; PSP（プレイステーション・ポータブル）</t>
  </si>
  <si>
    <t>ニンテンドーDS</t>
  </si>
  <si>
    <t>オークション &gt; おもちゃ、ゲーム &gt; ゲーム &gt; テレビゲーム &gt; 携帯型 &gt; ニンテンドーDS</t>
  </si>
  <si>
    <t>ゲームボーイアドバンス</t>
  </si>
  <si>
    <t>オークション &gt; おもちゃ、ゲーム &gt; ゲーム &gt; テレビゲーム &gt; 携帯型 &gt; ゲームボーイアドバンス</t>
  </si>
  <si>
    <t>ゲームボーイ</t>
  </si>
  <si>
    <t>オークション &gt; おもちゃ、ゲーム &gt; ゲーム &gt; テレビゲーム &gt; 携帯型 &gt; ゲームボーイ</t>
  </si>
  <si>
    <t>ゲームウォッチ</t>
  </si>
  <si>
    <t>オークション &gt; おもちゃ、ゲーム &gt; ゲーム &gt; テレビゲーム &gt; 携帯型 &gt; ゲームウォッチ</t>
  </si>
  <si>
    <t>オークション &gt; おもちゃ、ゲーム &gt; ゲーム &gt; テレビゲーム &gt; 携帯型 &gt; ゲームギア</t>
  </si>
  <si>
    <t>ポケットステーション</t>
  </si>
  <si>
    <t>オークション &gt; おもちゃ、ゲーム &gt; ゲーム &gt; テレビゲーム &gt; 携帯型 &gt; ポケットステーション</t>
  </si>
  <si>
    <t>ワンダースワン</t>
  </si>
  <si>
    <t>オークション &gt; おもちゃ、ゲーム &gt; ゲーム &gt; テレビゲーム &gt; 携帯型 &gt; ワンダースワン</t>
  </si>
  <si>
    <t>オークション &gt; おもちゃ、ゲーム &gt; ゲーム &gt; テレビゲーム &gt; 携帯型 &gt; その他</t>
  </si>
  <si>
    <t>ゲーム基板</t>
  </si>
  <si>
    <t>オークション &gt; おもちゃ、ゲーム &gt; ゲーム &gt; アーケードゲーム &gt; ゲーム基板</t>
  </si>
  <si>
    <t>筐体、コントロールパネル</t>
  </si>
  <si>
    <t>オークション &gt; おもちゃ、ゲーム &gt; ゲーム &gt; アーケードゲーム &gt; 筐体、コントロールパネル</t>
  </si>
  <si>
    <t>ICカード</t>
  </si>
  <si>
    <t>オークション &gt; おもちゃ、ゲーム &gt; ゲーム &gt; アーケードゲーム &gt; ICカード</t>
  </si>
  <si>
    <t>カタログ、取説</t>
  </si>
  <si>
    <t>オークション &gt; おもちゃ、ゲーム &gt; ゲーム &gt; アーケードゲーム &gt; カタログ、取説</t>
  </si>
  <si>
    <t>ポスター</t>
  </si>
  <si>
    <t>オークション &gt; おもちゃ、ゲーム &gt; ゲーム &gt; アーケードゲーム &gt; ポスター</t>
  </si>
  <si>
    <t>ポップ、インスト</t>
  </si>
  <si>
    <t>オークション &gt; おもちゃ、ゲーム &gt; ゲーム &gt; アーケードゲーム &gt; ポップ、インスト</t>
  </si>
  <si>
    <t>WCCF</t>
  </si>
  <si>
    <t>オークション &gt; おもちゃ、ゲーム &gt; ゲーム &gt; アーケードゲーム &gt; WCCF</t>
  </si>
  <si>
    <t>オークション &gt; おもちゃ、ゲーム &gt; ゲーム &gt; アーケードゲーム &gt; その他</t>
  </si>
  <si>
    <t>ゲーム一般</t>
  </si>
  <si>
    <t>オークション &gt; 音楽 &gt; CD &gt; ゲーム音楽 &gt; ゲーム一般</t>
  </si>
  <si>
    <t>ときめきメモリアル</t>
  </si>
  <si>
    <t>オークション &gt; 音楽 &gt; CD &gt; ゲーム音楽 &gt; ときめきメモリアル</t>
  </si>
  <si>
    <t>サクラ大戦</t>
  </si>
  <si>
    <t>オークション &gt; 音楽 &gt; CD &gt; ゲーム音楽 &gt; サクラ大戦</t>
  </si>
  <si>
    <t>センチメンタル・グラフティ</t>
  </si>
  <si>
    <t>オークション &gt; 音楽 &gt; CD &gt; ゲーム音楽 &gt; センチメンタル・グラフティ</t>
  </si>
  <si>
    <t>ドラゴンクエスト</t>
  </si>
  <si>
    <t>オークション &gt; 音楽 &gt; CD &gt; ゲーム音楽 &gt; ドラゴンクエスト</t>
  </si>
  <si>
    <t>ファイナルファンタジー</t>
  </si>
  <si>
    <t>オークション &gt; 音楽 &gt; CD &gt; ゲーム音楽 &gt; ファイナルファンタジー</t>
  </si>
  <si>
    <t>CDブック</t>
  </si>
  <si>
    <t>オークション &gt; 音楽 &gt; CD &gt; ゲーム音楽 &gt; CDブック</t>
  </si>
  <si>
    <t>ゲーム設定資料集</t>
  </si>
  <si>
    <t>オークション &gt; 本、雑誌 &gt; アート、エンターテインメント &gt; ゲーム攻略本 &gt; ゲーム設定資料集</t>
  </si>
  <si>
    <t>アクション</t>
  </si>
  <si>
    <t>オークション &gt; 本、雑誌 &gt; アート、エンターテインメント &gt; ゲーム攻略本 &gt; アクション</t>
  </si>
  <si>
    <t>アドベンチャー</t>
  </si>
  <si>
    <t>オークション &gt; 本、雑誌 &gt; アート、エンターテインメント &gt; ゲーム攻略本 &gt; アドベンチャー</t>
  </si>
  <si>
    <t>カード、テーブル</t>
  </si>
  <si>
    <t>オークション &gt; 本、雑誌 &gt; アート、エンターテインメント &gt; ゲーム攻略本 &gt; カード、テーブル</t>
  </si>
  <si>
    <t>クイズ</t>
  </si>
  <si>
    <t>オークション &gt; 本、雑誌 &gt; アート、エンターテインメント &gt; ゲーム攻略本 &gt; クイズ</t>
  </si>
  <si>
    <t>ゲーム雑誌</t>
  </si>
  <si>
    <t>オークション &gt; 本、雑誌 &gt; アート、エンターテインメント &gt; ゲーム攻略本 &gt; ゲーム雑誌</t>
  </si>
  <si>
    <t>シミュレーション</t>
  </si>
  <si>
    <t>オークション &gt; 本、雑誌 &gt; アート、エンターテインメント &gt; ゲーム攻略本 &gt; シミュレーション</t>
  </si>
  <si>
    <t>スポーツ</t>
  </si>
  <si>
    <t>オークション &gt; 本、雑誌 &gt; アート、エンターテインメント &gt; ゲーム攻略本 &gt; スポーツ</t>
  </si>
  <si>
    <t>パズル、迷路</t>
  </si>
  <si>
    <t>オークション &gt; 本、雑誌 &gt; アート、エンターテインメント &gt; ゲーム攻略本 &gt; パズル、迷路</t>
  </si>
  <si>
    <t>レース</t>
  </si>
  <si>
    <t>オークション &gt; 本、雑誌 &gt; アート、エンターテインメント &gt; ゲーム攻略本 &gt; レース</t>
  </si>
  <si>
    <t>ロールプレイング</t>
  </si>
  <si>
    <t>オークション &gt; 本、雑誌 &gt; アート、エンターテインメント &gt; ゲーム攻略本 &gt; ロールプレイング</t>
  </si>
  <si>
    <t>オークション &gt; 本、雑誌 &gt; アート、エンターテインメント &gt; ゲーム攻略本 &gt; その他</t>
  </si>
  <si>
    <t>テレビゲーム</t>
  </si>
  <si>
    <t>オークション &gt; 本、雑誌 &gt; 雑誌 &gt; アート、エンターテインメント &gt; ゲーム &gt; テレビゲーム</t>
  </si>
  <si>
    <t>パソコンゲーム</t>
  </si>
  <si>
    <t>オークション &gt; 本、雑誌 &gt; 雑誌 &gt; アート、エンターテインメント &gt; ゲーム &gt; パソコンゲーム</t>
  </si>
  <si>
    <t>第1弾「騎士王降臨（きしおうこうりん）」</t>
  </si>
  <si>
    <t>オークション &gt; おもちゃ、ゲーム &gt; ゲーム &gt; トレーディングカードゲーム &gt; カードファイト!!　ヴァンガード &gt; 第1弾「騎士王降臨（きしおうこうりん）」</t>
  </si>
  <si>
    <t>第2弾「竜魂乱舞（りゅうこんらんぶ）」</t>
  </si>
  <si>
    <t>オークション &gt; おもちゃ、ゲーム &gt; ゲーム &gt; トレーディングカードゲーム &gt; カードファイト!!　ヴァンガード &gt; 第2弾「竜魂乱舞（りゅうこんらんぶ）」</t>
  </si>
  <si>
    <t>第3弾「魔侯襲来（まこうしゅうらい）」</t>
  </si>
  <si>
    <t>オークション &gt; おもちゃ、ゲーム &gt; ゲーム &gt; トレーディングカードゲーム &gt; カードファイト!!　ヴァンガード &gt; 第3弾「魔侯襲来（まこうしゅうらい）」</t>
  </si>
  <si>
    <t>第4弾「虚影神蝕（きょえいしんしょく）」</t>
  </si>
  <si>
    <t>オークション &gt; おもちゃ、ゲーム &gt; ゲーム &gt; トレーディングカードゲーム &gt; カードファイト!!　ヴァンガード &gt; 第4弾「虚影神蝕（きょえいしんしょく）」</t>
  </si>
  <si>
    <t>第5弾「双剣覚醒（そうけんかくせい）」</t>
  </si>
  <si>
    <t>オークション &gt; おもちゃ、ゲーム &gt; ゲーム &gt; トレーディングカードゲーム &gt; カードファイト!!　ヴァンガード &gt; 第5弾「双剣覚醒（そうけんかくせい）」</t>
  </si>
  <si>
    <t>第6弾「極限突破（きょくげんとっぱ）」</t>
  </si>
  <si>
    <t>オークション &gt; おもちゃ、ゲーム &gt; ゲーム &gt; トレーディングカードゲーム &gt; カードファイト!!　ヴァンガード &gt; 第6弾「極限突破（きょくげんとっぱ）」</t>
  </si>
  <si>
    <t>第7弾「獣王爆進（じゅうおうばくしん）」</t>
  </si>
  <si>
    <t>オークション &gt; おもちゃ、ゲーム &gt; ゲーム &gt; トレーディングカードゲーム &gt; カードファイト!!　ヴァンガード &gt; 第7弾「獣王爆進（じゅうおうばくしん）」</t>
  </si>
  <si>
    <t>第8弾「蒼嵐艦隊（そうらんかんたい）」</t>
  </si>
  <si>
    <t>オークション &gt; おもちゃ、ゲーム &gt; ゲーム &gt; トレーディングカードゲーム &gt; カードファイト!!　ヴァンガード &gt; 第8弾「蒼嵐艦隊（そうらんかんたい）」</t>
  </si>
  <si>
    <t>オークション &gt; おもちゃ、ゲーム &gt; ゲーム &gt; トレーディングカードゲーム &gt; カードファイト!!　ヴァンガード &gt; その他</t>
  </si>
  <si>
    <t>シングル</t>
  </si>
  <si>
    <t>オークション &gt; おもちゃ、ゲーム &gt; ゲーム &gt; トレーディングカードゲーム &gt; ガンダムウォー &gt; シングル</t>
  </si>
  <si>
    <t>ボックス</t>
  </si>
  <si>
    <t>オークション &gt; おもちゃ、ゲーム &gt; ゲーム &gt; トレーディングカードゲーム &gt; ガンダムウォー &gt; ボックス</t>
  </si>
  <si>
    <t>OGクルセイド</t>
  </si>
  <si>
    <t>オークション &gt; おもちゃ、ゲーム &gt; ゲーム &gt; トレーディングカードゲーム &gt; クルセイド &gt; OGクルセイド</t>
  </si>
  <si>
    <t>サンライズクルセイド</t>
  </si>
  <si>
    <t>オークション &gt; おもちゃ、ゲーム &gt; ゲーム &gt; トレーディングカードゲーム &gt; クルセイド &gt; サンライズクルセイド</t>
  </si>
  <si>
    <t>マクロスクルセイド</t>
  </si>
  <si>
    <t>オークション &gt; おもちゃ、ゲーム &gt; ゲーム &gt; トレーディングカードゲーム &gt; クルセイド &gt; マクロスクルセイド</t>
  </si>
  <si>
    <t>オークション &gt; おもちゃ、ゲーム &gt; ゲーム &gt; トレーディングカードゲーム &gt; クルセイド &gt; その他</t>
  </si>
  <si>
    <t>ノーマル</t>
  </si>
  <si>
    <t>オークション &gt; おもちゃ、ゲーム &gt; ゲーム &gt; トレーディングカードゲーム &gt; 仮面ライダーバトル ガンバライド &gt; ノーマル</t>
  </si>
  <si>
    <t>レア</t>
  </si>
  <si>
    <t>オークション &gt; おもちゃ、ゲーム &gt; ゲーム &gt; トレーディングカードゲーム &gt; 仮面ライダーバトル ガンバライド &gt; レア</t>
  </si>
  <si>
    <t>スーパーレア</t>
  </si>
  <si>
    <t>オークション &gt; おもちゃ、ゲーム &gt; ゲーム &gt; トレーディングカードゲーム &gt; 仮面ライダーバトル ガンバライド &gt; スーパーレア</t>
  </si>
  <si>
    <t>スペシャル</t>
  </si>
  <si>
    <t>オークション &gt; おもちゃ、ゲーム &gt; ゲーム &gt; トレーディングカードゲーム &gt; 仮面ライダーバトル ガンバライド &gt; スペシャル</t>
  </si>
  <si>
    <t>レジェンドレア</t>
  </si>
  <si>
    <t>オークション &gt; おもちゃ、ゲーム &gt; ゲーム &gt; トレーディングカードゲーム &gt; 仮面ライダーバトル ガンバライド &gt; レジェンドレア</t>
  </si>
  <si>
    <t>オークション &gt; おもちゃ、ゲーム &gt; ゲーム &gt; トレーディングカードゲーム &gt; 仮面ライダーバトル ガンバライド &gt; その他</t>
  </si>
  <si>
    <t>第1弾</t>
  </si>
  <si>
    <t>オークション &gt; おもちゃ、ゲーム &gt; ゲーム &gt; トレーディングカードゲーム &gt; スーパー戦隊バトル ダイスオー &gt; 第1弾</t>
  </si>
  <si>
    <t>第2弾</t>
  </si>
  <si>
    <t>オークション &gt; おもちゃ、ゲーム &gt; ゲーム &gt; トレーディングカードゲーム &gt; スーパー戦隊バトル ダイスオー &gt; 第2弾</t>
  </si>
  <si>
    <t>第3弾</t>
  </si>
  <si>
    <t>オークション &gt; おもちゃ、ゲーム &gt; ゲーム &gt; トレーディングカードゲーム &gt; スーパー戦隊バトル ダイスオー &gt; 第3弾</t>
  </si>
  <si>
    <t>オークション &gt; おもちゃ、ゲーム &gt; ゲーム &gt; トレーディングカードゲーム &gt; スーパー戦隊バトル ダイスオー &gt; その他</t>
  </si>
  <si>
    <t>スペシャルカード</t>
  </si>
  <si>
    <t>オークション &gt; おもちゃ、ゲーム &gt; ゲーム &gt; トレーディングカードゲーム &gt; WCCF &gt; スペシャルカード</t>
  </si>
  <si>
    <t>レアカード</t>
  </si>
  <si>
    <t>オークション &gt; おもちゃ、ゲーム &gt; ゲーム &gt; トレーディングカードゲーム &gt; WCCF &gt; レアカード</t>
  </si>
  <si>
    <t>レギュラーカード</t>
  </si>
  <si>
    <t>オークション &gt; おもちゃ、ゲーム &gt; ゲーム &gt; トレーディングカードゲーム &gt; WCCF &gt; レギュラーカード</t>
  </si>
  <si>
    <t>クリーチャー</t>
  </si>
  <si>
    <t>オークション &gt; おもちゃ、ゲーム &gt; ゲーム &gt; トレーディングカードゲーム &gt; デュエルマスターズ &gt; クリーチャー</t>
  </si>
  <si>
    <t>呪文</t>
  </si>
  <si>
    <t>オークション &gt; おもちゃ、ゲーム &gt; ゲーム &gt; トレーディングカードゲーム &gt; デュエルマスターズ &gt; 呪文</t>
  </si>
  <si>
    <t>オークション &gt; おもちゃ、ゲーム &gt; ゲーム &gt; トレーディングカードゲーム &gt; デュエルマスターズ &gt; その他</t>
  </si>
  <si>
    <t>モンスターバトルロードI</t>
  </si>
  <si>
    <t>オークション &gt; おもちゃ、ゲーム &gt; ゲーム &gt; トレーディングカードゲーム &gt; ドラゴンクエスト &gt; モンスターバトルロードI</t>
  </si>
  <si>
    <t>モンスターバトルロードII</t>
  </si>
  <si>
    <t>オークション &gt; おもちゃ、ゲーム &gt; ゲーム &gt; トレーディングカードゲーム &gt; ドラゴンクエスト &gt; モンスターバトルロードII</t>
  </si>
  <si>
    <t>ドラゴンボールヒーローズ</t>
  </si>
  <si>
    <t>オークション &gt; おもちゃ、ゲーム &gt; ゲーム &gt; トレーディングカードゲーム &gt; ドラゴンボール &gt; ドラゴンボールヒーローズ</t>
  </si>
  <si>
    <t>ドラゴンボールカードダス</t>
  </si>
  <si>
    <t>オークション &gt; おもちゃ、ゲーム &gt; ゲーム &gt; トレーディングカードゲーム &gt; ドラゴンボール &gt; ドラゴンボールカードダス</t>
  </si>
  <si>
    <t>ドラゴンボール改 ドラゴンバトラーズ</t>
  </si>
  <si>
    <t>オークション &gt; おもちゃ、ゲーム &gt; ゲーム &gt; トレーディングカードゲーム &gt; ドラゴンボール &gt; ドラゴンボール改 ドラゴンバトラーズ</t>
  </si>
  <si>
    <t>ミラクルバトルカードダス</t>
  </si>
  <si>
    <t>オークション &gt; おもちゃ、ゲーム &gt; ゲーム &gt; トレーディングカードゲーム &gt; ドラゴンボール &gt; ミラクルバトルカードダス</t>
  </si>
  <si>
    <t>オークション &gt; おもちゃ、ゲーム &gt; ゲーム &gt; トレーディングカードゲーム &gt; ドラゴンボール &gt; その他</t>
  </si>
  <si>
    <t>セット、まとめ売り</t>
  </si>
  <si>
    <t>オークション &gt; おもちゃ、ゲーム &gt; ゲーム &gt; トレーディングカードゲーム &gt; バトルスピリッツ &gt; セット、まとめ売り</t>
  </si>
  <si>
    <t>黄金の大地</t>
  </si>
  <si>
    <t>オークション &gt; おもちゃ、ゲーム &gt; ゲーム &gt; トレーディングカードゲーム &gt; バトルスピリッツ &gt; 黄金の大地</t>
  </si>
  <si>
    <t>剣舞う世界</t>
  </si>
  <si>
    <t>オークション &gt; おもちゃ、ゲーム &gt; ゲーム &gt; トレーディングカードゲーム &gt; バトルスピリッツ &gt; 剣舞う世界</t>
  </si>
  <si>
    <t>覇王大決戦</t>
  </si>
  <si>
    <t>オークション &gt; おもちゃ、ゲーム &gt; ゲーム &gt; トレーディングカードゲーム &gt; バトルスピリッツ &gt; 覇王大決戦</t>
  </si>
  <si>
    <t>爆裂の覇道</t>
  </si>
  <si>
    <t>オークション &gt; おもちゃ、ゲーム &gt; ゲーム &gt; トレーディングカードゲーム &gt; バトルスピリッツ &gt; 爆裂の覇道</t>
  </si>
  <si>
    <t>オークション &gt; おもちゃ、ゲーム &gt; ゲーム &gt; トレーディングカードゲーム &gt; バトルスピリッツ &gt; その他</t>
  </si>
  <si>
    <t>ハートキャッチ ドリームダンス</t>
  </si>
  <si>
    <t>オークション &gt; おもちゃ、ゲーム &gt; ゲーム &gt; トレーディングカードゲーム &gt; プリキュア &gt; ハートキャッチ ドリームダンス</t>
  </si>
  <si>
    <t>プリキュアオールスターズ</t>
  </si>
  <si>
    <t>オークション &gt; おもちゃ、ゲーム &gt; ゲーム &gt; トレーディングカードゲーム &gt; プリキュア &gt; プリキュアオールスターズ</t>
  </si>
  <si>
    <t>オークション &gt; おもちゃ、ゲーム &gt; ゲーム &gt; トレーディングカードゲーム &gt; プリキュア &gt; その他</t>
  </si>
  <si>
    <t>オリックス・バファローズ</t>
  </si>
  <si>
    <t>オークション &gt; おもちゃ、ゲーム &gt; ゲーム &gt; トレーディングカードゲーム &gt; プロ野球オーナーズリーグ &gt; オリックス・バファローズ</t>
  </si>
  <si>
    <t>横浜DeNAベイスターズ</t>
  </si>
  <si>
    <t>オークション &gt; おもちゃ、ゲーム &gt; ゲーム &gt; トレーディングカードゲーム &gt; プロ野球オーナーズリーグ &gt; 横浜DeNAベイスターズ</t>
  </si>
  <si>
    <t>広島東洋カープ</t>
  </si>
  <si>
    <t>オークション &gt; おもちゃ、ゲーム &gt; ゲーム &gt; トレーディングカードゲーム &gt; プロ野球オーナーズリーグ &gt; 広島東洋カープ</t>
  </si>
  <si>
    <t>阪神タイガース</t>
  </si>
  <si>
    <t>オークション &gt; おもちゃ、ゲーム &gt; ゲーム &gt; トレーディングカードゲーム &gt; プロ野球オーナーズリーグ &gt; 阪神タイガース</t>
  </si>
  <si>
    <t>埼玉西武ライオンズ</t>
  </si>
  <si>
    <t>オークション &gt; おもちゃ、ゲーム &gt; ゲーム &gt; トレーディングカードゲーム &gt; プロ野球オーナーズリーグ &gt; 埼玉西武ライオンズ</t>
  </si>
  <si>
    <t>千葉ロッテマリーンズ</t>
  </si>
  <si>
    <t>オークション &gt; おもちゃ、ゲーム &gt; ゲーム &gt; トレーディングカードゲーム &gt; プロ野球オーナーズリーグ &gt; 千葉ロッテマリーンズ</t>
  </si>
  <si>
    <t>中日ドラゴンズ</t>
  </si>
  <si>
    <t>オークション &gt; おもちゃ、ゲーム &gt; ゲーム &gt; トレーディングカードゲーム &gt; プロ野球オーナーズリーグ &gt; 中日ドラゴンズ</t>
  </si>
  <si>
    <t>東京ヤクルトスワローズ</t>
  </si>
  <si>
    <t>オークション &gt; おもちゃ、ゲーム &gt; ゲーム &gt; トレーディングカードゲーム &gt; プロ野球オーナーズリーグ &gt; 東京ヤクルトスワローズ</t>
  </si>
  <si>
    <t>東北楽天ゴールデンイーグルス</t>
  </si>
  <si>
    <t>オークション &gt; おもちゃ、ゲーム &gt; ゲーム &gt; トレーディングカードゲーム &gt; プロ野球オーナーズリーグ &gt; 東北楽天ゴールデンイーグルス</t>
  </si>
  <si>
    <t>読売ジャイアンツ</t>
  </si>
  <si>
    <t>オークション &gt; おもちゃ、ゲーム &gt; ゲーム &gt; トレーディングカードゲーム &gt; プロ野球オーナーズリーグ &gt; 読売ジャイアンツ</t>
  </si>
  <si>
    <t>福岡ソフトバンクホークス</t>
  </si>
  <si>
    <t>オークション &gt; おもちゃ、ゲーム &gt; ゲーム &gt; トレーディングカードゲーム &gt; プロ野球オーナーズリーグ &gt; 福岡ソフトバンクホークス</t>
  </si>
  <si>
    <t>北海道日本ハムファイターズ</t>
  </si>
  <si>
    <t>オークション &gt; おもちゃ、ゲーム &gt; ゲーム &gt; トレーディングカードゲーム &gt; プロ野球オーナーズリーグ &gt; 北海道日本ハムファイターズ</t>
  </si>
  <si>
    <t>オークション &gt; おもちゃ、ゲーム &gt; ゲーム &gt; トレーディングカードゲーム &gt; プロ野球オーナーズリーグ &gt; その他</t>
  </si>
  <si>
    <t>BBH1</t>
  </si>
  <si>
    <t>オークション &gt; おもちゃ、ゲーム &gt; ゲーム &gt; トレーディングカードゲーム &gt; ベースボールヒーローズ &gt; BBH1</t>
  </si>
  <si>
    <t>BBH2</t>
  </si>
  <si>
    <t>オークション &gt; おもちゃ、ゲーム &gt; ゲーム &gt; トレーディングカードゲーム &gt; ベースボールヒーローズ &gt; BBH2</t>
  </si>
  <si>
    <t>BBH3</t>
  </si>
  <si>
    <t>オークション &gt; おもちゃ、ゲーム &gt; ゲーム &gt; トレーディングカードゲーム &gt; ベースボールヒーローズ &gt; BBH3</t>
  </si>
  <si>
    <t>2008制覇</t>
  </si>
  <si>
    <t>オークション &gt; おもちゃ、ゲーム &gt; ゲーム &gt; トレーディングカードゲーム &gt; ベースボールヒーローズ &gt; 2008制覇</t>
  </si>
  <si>
    <t>2009覇者</t>
  </si>
  <si>
    <t>オークション &gt; おもちゃ、ゲーム &gt; ゲーム &gt; トレーディングカードゲーム &gt; ベースボールヒーローズ &gt; 2009覇者</t>
  </si>
  <si>
    <t>BBH2010</t>
  </si>
  <si>
    <t>オークション &gt; おもちゃ、ゲーム &gt; ゲーム &gt; トレーディングカードゲーム &gt; ベースボールヒーローズ &gt; BBH2010</t>
  </si>
  <si>
    <t>BBH2011</t>
  </si>
  <si>
    <t>オークション &gt; おもちゃ、ゲーム &gt; ゲーム &gt; トレーディングカードゲーム &gt; ベースボールヒーローズ &gt; BBH2011</t>
  </si>
  <si>
    <t>BBH2012</t>
  </si>
  <si>
    <t>オークション &gt; おもちゃ、ゲーム &gt; ゲーム &gt; トレーディングカードゲーム &gt; ベースボールヒーローズ &gt; BBH2012</t>
  </si>
  <si>
    <t>オークション &gt; おもちゃ、ゲーム &gt; ゲーム &gt; トレーディングカードゲーム &gt; ベースボールヒーローズ &gt; その他</t>
  </si>
  <si>
    <t>オークション &gt; おもちゃ、ゲーム &gt; ゲーム &gt; トレーディングカードゲーム &gt; ポケモンカードゲーム &gt; セット、まとめ売り</t>
  </si>
  <si>
    <t>ポケモンカードゲームLEGEND</t>
  </si>
  <si>
    <t>オークション &gt; おもちゃ、ゲーム &gt; ゲーム &gt; トレーディングカードゲーム &gt; ポケモンカードゲーム &gt; ポケモンカードゲームLEGEND</t>
  </si>
  <si>
    <t>ポケモンカードゲームBW</t>
  </si>
  <si>
    <t>オークション &gt; おもちゃ、ゲーム &gt; ゲーム &gt; トレーディングカードゲーム &gt; ポケモンカードゲーム &gt; ポケモンカードゲームBW</t>
  </si>
  <si>
    <t>ポケモンカードゲームDP</t>
  </si>
  <si>
    <t>オークション &gt; おもちゃ、ゲーム &gt; ゲーム &gt; トレーディングカードゲーム &gt; ポケモンカードゲーム &gt; ポケモンカードゲームDP</t>
  </si>
  <si>
    <t>ポケモンカードゲームDpt</t>
  </si>
  <si>
    <t>オークション &gt; おもちゃ、ゲーム &gt; ゲーム &gt; トレーディングカードゲーム &gt; ポケモンカードゲーム &gt; ポケモンカードゲームDpt</t>
  </si>
  <si>
    <t>オークション &gt; おもちゃ、ゲーム &gt; ゲーム &gt; トレーディングカードゲーム &gt; ポケモンカードゲーム &gt; その他</t>
  </si>
  <si>
    <t>ノーマルパック</t>
  </si>
  <si>
    <t>オークション &gt; おもちゃ、ゲーム &gt; ゲーム &gt; トレーディングカードゲーム &gt; ポケモンバトリオ &gt; ノーマルパック</t>
  </si>
  <si>
    <t>スーパーパック</t>
  </si>
  <si>
    <t>オークション &gt; おもちゃ、ゲーム &gt; ゲーム &gt; トレーディングカードゲーム &gt; ポケモンバトリオ &gt; スーパーパック</t>
  </si>
  <si>
    <t>ハイパーパック</t>
  </si>
  <si>
    <t>オークション &gt; おもちゃ、ゲーム &gt; ゲーム &gt; トレーディングカードゲーム &gt; ポケモンバトリオ &gt; ハイパーパック</t>
  </si>
  <si>
    <t>マスターパック</t>
  </si>
  <si>
    <t>オークション &gt; おもちゃ、ゲーム &gt; ゲーム &gt; トレーディングカードゲーム &gt; ポケモンバトリオ &gt; マスターパック</t>
  </si>
  <si>
    <t>オークション &gt; おもちゃ、ゲーム &gt; ゲーム &gt; トレーディングカードゲーム &gt; ポケモンバトリオ &gt; その他</t>
  </si>
  <si>
    <t>オークション &gt; おもちゃ、ゲーム &gt; ゲーム &gt; トレーディングカードゲーム &gt; Magic: The Gathering &gt; セット、まとめ売り</t>
  </si>
  <si>
    <t>Foilカード</t>
  </si>
  <si>
    <t>オークション &gt; おもちゃ、ゲーム &gt; ゲーム &gt; トレーディングカードゲーム &gt; Magic: The Gathering &gt; Foilカード</t>
  </si>
  <si>
    <t>シングルカード</t>
  </si>
  <si>
    <t>オークション &gt; おもちゃ、ゲーム &gt; ゲーム &gt; トレーディングカードゲーム &gt; Magic: The Gathering &gt; シングルカード</t>
  </si>
  <si>
    <t>オークション &gt; おもちゃ、ゲーム &gt; ゲーム &gt; トレーディングカードゲーム &gt; Magic: The Gathering &gt; ボックス</t>
  </si>
  <si>
    <t>オークション &gt; おもちゃ、ゲーム &gt; ゲーム &gt; トレーディングカードゲーム &gt; 遊戯王（コナミ） &gt; セット、まとめ売り</t>
  </si>
  <si>
    <t>DUEL TERMINAL</t>
  </si>
  <si>
    <t>オークション &gt; おもちゃ、ゲーム &gt; ゲーム &gt; トレーディングカードゲーム &gt; 遊戯王（コナミ） &gt; DUEL TERMINAL</t>
  </si>
  <si>
    <t>デュエリストパック</t>
  </si>
  <si>
    <t>オークション &gt; おもちゃ、ゲーム &gt; ゲーム &gt; トレーディングカードゲーム &gt; 遊戯王（コナミ） &gt; デュエリストパック</t>
  </si>
  <si>
    <t>ストラクチャーデッキ</t>
  </si>
  <si>
    <t>オークション &gt; おもちゃ、ゲーム &gt; ゲーム &gt; トレーディングカードゲーム &gt; 遊戯王（コナミ） &gt; ストラクチャーデッキ</t>
  </si>
  <si>
    <t>ファイブディーズシリーズ</t>
  </si>
  <si>
    <t>オークション &gt; おもちゃ、ゲーム &gt; ゲーム &gt; トレーディングカードゲーム &gt; 遊戯王（コナミ） &gt; ファイブディーズシリーズ</t>
  </si>
  <si>
    <t>デュエルモンスターズシリーズ</t>
  </si>
  <si>
    <t>オークション &gt; おもちゃ、ゲーム &gt; ゲーム &gt; トレーディングカードゲーム &gt; 遊戯王（コナミ） &gt; デュエルモンスターズシリーズ</t>
  </si>
  <si>
    <t>エクシーズ</t>
  </si>
  <si>
    <t>オークション &gt; おもちゃ、ゲーム &gt; ゲーム &gt; トレーディングカードゲーム &gt; 遊戯王（コナミ） &gt; エクシーズ</t>
  </si>
  <si>
    <t>海外版</t>
  </si>
  <si>
    <t>オークション &gt; おもちゃ、ゲーム &gt; ゲーム &gt; トレーディングカードゲーム &gt; 遊戯王（コナミ） &gt; 海外版</t>
  </si>
  <si>
    <t>限定品、非売品</t>
  </si>
  <si>
    <t>オークション &gt; おもちゃ、ゲーム &gt; ゲーム &gt; トレーディングカードゲーム &gt; 遊戯王（コナミ） &gt; 限定品、非売品</t>
  </si>
  <si>
    <t>オークション &gt; おもちゃ、ゲーム &gt; ゲーム &gt; トレーディングカードゲーム &gt; 遊戯王（コナミ） &gt; その他</t>
  </si>
  <si>
    <t>トレーディングカードゲーム</t>
  </si>
  <si>
    <t>オークション &gt; アンティーク、コレクション &gt; トレーディングカード &gt; トレーディングカードゲーム</t>
  </si>
  <si>
    <t>コミック、アニメーション</t>
  </si>
  <si>
    <t>オークション &gt; アンティーク、コレクション &gt; トレーディングカード &gt; コミック、アニメーション</t>
  </si>
  <si>
    <t>オークション &gt; アンティーク、コレクション &gt; トレーディングカード &gt; スポーツ</t>
  </si>
  <si>
    <t>タレント</t>
  </si>
  <si>
    <t>オークション &gt; アンティーク、コレクション &gt; トレーディングカード &gt; タレント</t>
  </si>
  <si>
    <t>オークション &gt; アンティーク、コレクション &gt; トレーディングカード &gt; テレビゲーム</t>
  </si>
  <si>
    <t>ミュージシャン</t>
  </si>
  <si>
    <t>オークション &gt; アンティーク、コレクション &gt; トレーディングカード &gt; ミュージシャン</t>
  </si>
  <si>
    <t>競馬</t>
  </si>
  <si>
    <t>オークション &gt; アンティーク、コレクション &gt; トレーディングカード &gt; 競馬</t>
  </si>
  <si>
    <t>特撮</t>
  </si>
  <si>
    <t>オークション &gt; アンティーク、コレクション &gt; トレーディングカード &gt; 特撮</t>
  </si>
  <si>
    <t>オークション &gt; アンティーク、コレクション &gt; トレーディングカード &gt; その他</t>
  </si>
  <si>
    <t>ARカードダス</t>
  </si>
  <si>
    <t>オークション &gt; おもちゃ、ゲーム &gt; ゲーム &gt; トレーディングカードゲーム &gt; ワンピース &gt; ARカードダス</t>
  </si>
  <si>
    <t>ベリーマッチアイシー</t>
  </si>
  <si>
    <t>オークション &gt; おもちゃ、ゲーム &gt; ゲーム &gt; トレーディングカードゲーム &gt; ワンピース &gt; ベリーマッチアイシー</t>
  </si>
  <si>
    <t>ベリーマッチダブル</t>
  </si>
  <si>
    <t>オークション &gt; おもちゃ、ゲーム &gt; ゲーム &gt; トレーディングカードゲーム &gt; ワンピース &gt; ベリーマッチダブル</t>
  </si>
  <si>
    <t>オークション &gt; おもちゃ、ゲーム &gt; ゲーム &gt; トレーディングカードゲーム &gt; ワンピース &gt; ミラクルバトルカードダス</t>
  </si>
  <si>
    <t>オークション &gt; おもちゃ、ゲーム &gt; ゲーム &gt; トレーディングカードゲーム &gt; ワンピース &gt; その他</t>
  </si>
  <si>
    <t>AKIRA</t>
  </si>
  <si>
    <t>オークション &gt; おもちゃ、ゲーム &gt; フィギュア &gt; コミック、アニメ &gt; AKIRA</t>
  </si>
  <si>
    <t>IS＜インフィニット・ストラトス＞</t>
  </si>
  <si>
    <t>オークション &gt; おもちゃ、ゲーム &gt; フィギュア &gt; コミック、アニメ &gt; IS＜インフィニット・ストラトス＞</t>
  </si>
  <si>
    <t>うる星やつら</t>
  </si>
  <si>
    <t>オークション &gt; おもちゃ、ゲーム &gt; フィギュア &gt; コミック、アニメ &gt; うる星やつら</t>
  </si>
  <si>
    <t>一騎当千</t>
  </si>
  <si>
    <t>オークション &gt; おもちゃ、ゲーム &gt; フィギュア &gt; コミック、アニメ &gt; 一騎当千</t>
  </si>
  <si>
    <t>宇宙戦艦ヤマト</t>
  </si>
  <si>
    <t>オークション &gt; おもちゃ、ゲーム &gt; フィギュア &gt; コミック、アニメ &gt; 宇宙戦艦ヤマト</t>
  </si>
  <si>
    <t>おそ松さん</t>
  </si>
  <si>
    <t>オークション &gt; おもちゃ、ゲーム &gt; フィギュア &gt; コミック、アニメ &gt; おそ松さん</t>
  </si>
  <si>
    <t>俺の妹がこんなに可愛いわけがない</t>
  </si>
  <si>
    <t>オークション &gt; おもちゃ、ゲーム &gt; フィギュア &gt; コミック、アニメ &gt; 俺の妹がこんなに可愛いわけがない</t>
  </si>
  <si>
    <t>けいおん！</t>
  </si>
  <si>
    <t>オークション &gt; おもちゃ、ゲーム &gt; フィギュア &gt; コミック、アニメ &gt; けいおん！</t>
  </si>
  <si>
    <t>ガンダム</t>
  </si>
  <si>
    <t>オークション &gt; おもちゃ、ゲーム &gt; フィギュア &gt; コミック、アニメ &gt; ガンダム</t>
  </si>
  <si>
    <t>キューティーハニー</t>
  </si>
  <si>
    <t>オークション &gt; おもちゃ、ゲーム &gt; フィギュア &gt; コミック、アニメ &gt; キューティーハニー</t>
  </si>
  <si>
    <t>キン肉マン</t>
  </si>
  <si>
    <t>オークション &gt; おもちゃ、ゲーム &gt; フィギュア &gt; コミック、アニメ &gt; キン肉マン</t>
  </si>
  <si>
    <t>クローズ WORST</t>
  </si>
  <si>
    <t>オークション &gt; おもちゃ、ゲーム &gt; フィギュア &gt; コミック、アニメ &gt; クローズ WORST</t>
  </si>
  <si>
    <t>ケロロ軍曹</t>
  </si>
  <si>
    <t>オークション &gt; おもちゃ、ゲーム &gt; フィギュア &gt; コミック、アニメ &gt; ケロロ軍曹</t>
  </si>
  <si>
    <t>コードギアス</t>
  </si>
  <si>
    <t>オークション &gt; おもちゃ、ゲーム &gt; フィギュア &gt; コミック、アニメ &gt; コードギアス</t>
  </si>
  <si>
    <t>家庭教師ヒットマン REBORN！</t>
  </si>
  <si>
    <t>オークション &gt; おもちゃ、ゲーム &gt; フィギュア &gt; コミック、アニメ &gt; 家庭教師ヒットマン REBORN！</t>
  </si>
  <si>
    <t>銀魂</t>
  </si>
  <si>
    <t>オークション &gt; おもちゃ、ゲーム &gt; フィギュア &gt; コミック、アニメ &gt; 銀魂</t>
  </si>
  <si>
    <t>ジョジョの奇妙な冒険</t>
  </si>
  <si>
    <t>オークション &gt; おもちゃ、ゲーム &gt; フィギュア &gt; コミック、アニメ &gt; ジョジョの奇妙な冒険</t>
  </si>
  <si>
    <t>ストライクウィッチーズ</t>
  </si>
  <si>
    <t>オークション &gt; おもちゃ、ゲーム &gt; フィギュア &gt; コミック、アニメ &gt; ストライクウィッチーズ</t>
  </si>
  <si>
    <t>灼眼のシャナ</t>
  </si>
  <si>
    <t>オークション &gt; おもちゃ、ゲーム &gt; フィギュア &gt; コミック、アニメ &gt; 灼眼のシャナ</t>
  </si>
  <si>
    <t>侵略!?イカ娘</t>
  </si>
  <si>
    <t>オークション &gt; おもちゃ、ゲーム &gt; フィギュア &gt; コミック、アニメ &gt; 侵略!?イカ娘</t>
  </si>
  <si>
    <t>新世紀エヴァンゲリオン</t>
  </si>
  <si>
    <t>オークション &gt; おもちゃ、ゲーム &gt; フィギュア &gt; コミック、アニメ &gt; 新世紀エヴァンゲリオン</t>
  </si>
  <si>
    <t>聖闘士星矢</t>
  </si>
  <si>
    <t>オークション &gt; おもちゃ、ゲーム &gt; フィギュア &gt; コミック、アニメ &gt; 聖闘士星矢</t>
  </si>
  <si>
    <t>涼宮ハルヒの憂鬱</t>
  </si>
  <si>
    <t>オークション &gt; おもちゃ、ゲーム &gt; フィギュア &gt; コミック、アニメ &gt; 涼宮ハルヒの憂鬱</t>
  </si>
  <si>
    <t>TIGER＆BUNNY</t>
  </si>
  <si>
    <t>オークション &gt; おもちゃ、ゲーム &gt; フィギュア &gt; コミック、アニメ &gt; TIGER＆BUNNY</t>
  </si>
  <si>
    <t>To LOVEる</t>
  </si>
  <si>
    <t>オークション &gt; おもちゃ、ゲーム &gt; フィギュア &gt; コミック、アニメ &gt; To LOVEる</t>
  </si>
  <si>
    <t>とある（禁書目録、超電磁砲）</t>
  </si>
  <si>
    <t>オークション &gt; おもちゃ、ゲーム &gt; フィギュア &gt; コミック、アニメ &gt; とある（禁書目録、超電磁砲）</t>
  </si>
  <si>
    <t>ディズニー</t>
  </si>
  <si>
    <t>オークション &gt; おもちゃ、ゲーム &gt; フィギュア &gt; コミック、アニメ &gt; ディズニー</t>
  </si>
  <si>
    <t>デビルマン</t>
  </si>
  <si>
    <t>オークション &gt; おもちゃ、ゲーム &gt; フィギュア &gt; コミック、アニメ &gt; デビルマン</t>
  </si>
  <si>
    <t>ドラゴンボール</t>
  </si>
  <si>
    <t>オークション &gt; おもちゃ、ゲーム &gt; フィギュア &gt; コミック、アニメ &gt; ドラゴンボール</t>
  </si>
  <si>
    <t>鉄人28号</t>
  </si>
  <si>
    <t>オークション &gt; おもちゃ、ゲーム &gt; フィギュア &gt; コミック、アニメ &gt; 鉄人28号</t>
  </si>
  <si>
    <t>鉄腕アトム</t>
  </si>
  <si>
    <t>オークション &gt; おもちゃ、ゲーム &gt; フィギュア &gt; コミック、アニメ &gt; 鉄腕アトム</t>
  </si>
  <si>
    <t>天元突破グレンラガン</t>
  </si>
  <si>
    <t>オークション &gt; おもちゃ、ゲーム &gt; フィギュア &gt; コミック、アニメ &gt; 天元突破グレンラガン</t>
  </si>
  <si>
    <t>天上天下</t>
  </si>
  <si>
    <t>オークション &gt; おもちゃ、ゲーム &gt; フィギュア &gt; コミック、アニメ &gt; 天上天下</t>
  </si>
  <si>
    <t>NARUTO</t>
  </si>
  <si>
    <t>オークション &gt; おもちゃ、ゲーム &gt; フィギュア &gt; コミック、アニメ &gt; NARUTO</t>
  </si>
  <si>
    <t>夏目友人帳</t>
  </si>
  <si>
    <t>オークション &gt; おもちゃ、ゲーム &gt; フィギュア &gt; コミック、アニメ &gt; 夏目友人帳</t>
  </si>
  <si>
    <t>BLEACH</t>
  </si>
  <si>
    <t>オークション &gt; おもちゃ、ゲーム &gt; フィギュア &gt; コミック、アニメ &gt; BLEACH</t>
  </si>
  <si>
    <t>Fate</t>
  </si>
  <si>
    <t>オークション &gt; おもちゃ、ゲーム &gt; フィギュア &gt; コミック、アニメ &gt; Fate</t>
  </si>
  <si>
    <t>プリキュアシリーズ</t>
  </si>
  <si>
    <t>オークション &gt; おもちゃ、ゲーム &gt; フィギュア &gt; コミック、アニメ &gt; プリキュアシリーズ</t>
  </si>
  <si>
    <t>化物語、偽物語</t>
  </si>
  <si>
    <t>オークション &gt; おもちゃ、ゲーム &gt; フィギュア &gt; コミック、アニメ &gt; 化物語、偽物語</t>
  </si>
  <si>
    <t>鋼の錬金術師</t>
  </si>
  <si>
    <t>オークション &gt; おもちゃ、ゲーム &gt; フィギュア &gt; コミック、アニメ &gt; 鋼の錬金術師</t>
  </si>
  <si>
    <t>初音ミク</t>
  </si>
  <si>
    <t>オークション &gt; おもちゃ、ゲーム &gt; フィギュア &gt; コミック、アニメ &gt; 初音ミク</t>
  </si>
  <si>
    <t>美少女戦士セーラームーン</t>
  </si>
  <si>
    <t>オークション &gt; おもちゃ、ゲーム &gt; フィギュア &gt; コミック、アニメ &gt; 美少女戦士セーラームーン</t>
  </si>
  <si>
    <t>北斗の拳</t>
  </si>
  <si>
    <t>オークション &gt; おもちゃ、ゲーム &gt; フィギュア &gt; コミック、アニメ &gt; 北斗の拳</t>
  </si>
  <si>
    <t>マクロスF</t>
  </si>
  <si>
    <t>オークション &gt; おもちゃ、ゲーム &gt; フィギュア &gt; コミック、アニメ &gt; マクロスF</t>
  </si>
  <si>
    <t>魔法少女まどか☆マギカ</t>
  </si>
  <si>
    <t>オークション &gt; おもちゃ、ゲーム &gt; フィギュア &gt; コミック、アニメ &gt; 魔法少女まどか☆マギカ</t>
  </si>
  <si>
    <t>魔法少女リリカルなのは</t>
  </si>
  <si>
    <t>オークション &gt; おもちゃ、ゲーム &gt; フィギュア &gt; コミック、アニメ &gt; 魔法少女リリカルなのは</t>
  </si>
  <si>
    <t>ヤッターマン</t>
  </si>
  <si>
    <t>オークション &gt; おもちゃ、ゲーム &gt; フィギュア &gt; コミック、アニメ &gt; ヤッターマン</t>
  </si>
  <si>
    <t>らき☆すた</t>
  </si>
  <si>
    <t>オークション &gt; おもちゃ、ゲーム &gt; フィギュア &gt; コミック、アニメ &gt; らき☆すた</t>
  </si>
  <si>
    <t>ルパン三世</t>
  </si>
  <si>
    <t>オークション &gt; おもちゃ、ゲーム &gt; フィギュア &gt; コミック、アニメ &gt; ルパン三世</t>
  </si>
  <si>
    <t>ロボットヒーロー</t>
  </si>
  <si>
    <t>オークション &gt; おもちゃ、ゲーム &gt; フィギュア &gt; コミック、アニメ &gt; ロボットヒーロー</t>
  </si>
  <si>
    <t>ONE PIECE</t>
  </si>
  <si>
    <t>オークション &gt; おもちゃ、ゲーム &gt; フィギュア &gt; コミック、アニメ &gt; ONE PIECE</t>
  </si>
  <si>
    <t>オークション &gt; おもちゃ、ゲーム &gt; フィギュア &gt; コミック、アニメ &gt; その他</t>
  </si>
  <si>
    <t>人造人間キカイダー</t>
  </si>
  <si>
    <t>オークション &gt; おもちゃ、ゲーム &gt; フィギュア &gt; 特撮 &gt; 人造人間キカイダー</t>
  </si>
  <si>
    <t>ロボット刑事</t>
  </si>
  <si>
    <t>オークション &gt; おもちゃ、ゲーム &gt; フィギュア &gt; 特撮 &gt; ロボット刑事</t>
  </si>
  <si>
    <t>キカイダー01</t>
  </si>
  <si>
    <t>オークション &gt; おもちゃ、ゲーム &gt; フィギュア &gt; 特撮 &gt; キカイダー01</t>
  </si>
  <si>
    <t>ウルトラマン</t>
  </si>
  <si>
    <t>オークション &gt; おもちゃ、ゲーム &gt; フィギュア &gt; 特撮 &gt; ウルトラマン</t>
  </si>
  <si>
    <t>ゴジラ、怪獣</t>
  </si>
  <si>
    <t>オークション &gt; おもちゃ、ゲーム &gt; フィギュア &gt; 特撮 &gt; ゴジラ、怪獣</t>
  </si>
  <si>
    <t>メタルシリーズ</t>
  </si>
  <si>
    <t>オークション &gt; おもちゃ、ゲーム &gt; フィギュア &gt; 特撮 &gt; メタルシリーズ</t>
  </si>
  <si>
    <t>仮面ライダー</t>
  </si>
  <si>
    <t>オークション &gt; おもちゃ、ゲーム &gt; フィギュア &gt; 特撮 &gt; 仮面ライダー</t>
  </si>
  <si>
    <t>戦隊シリーズ</t>
  </si>
  <si>
    <t>オークション &gt; おもちゃ、ゲーム &gt; フィギュア &gt; 特撮 &gt; 戦隊シリーズ</t>
  </si>
  <si>
    <t>オークション &gt; おもちゃ、ゲーム &gt; フィギュア &gt; 特撮 &gt; ロボットヒーロー</t>
  </si>
  <si>
    <t>オークション &gt; おもちゃ、ゲーム &gt; フィギュア &gt; 特撮 &gt; その他</t>
  </si>
  <si>
    <t>Piaキャロットへようこそ!!</t>
  </si>
  <si>
    <t>オークション &gt; おもちゃ、ゲーム &gt; フィギュア &gt; ゲームキャラクター &gt; Piaキャロットへようこそ!!</t>
  </si>
  <si>
    <t>ToHeart2</t>
  </si>
  <si>
    <t>オークション &gt; おもちゃ、ゲーム &gt; フィギュア &gt; ゲームキャラクター &gt; ToHeart2</t>
  </si>
  <si>
    <t>すーぱーそに子</t>
  </si>
  <si>
    <t>オークション &gt; おもちゃ、ゲーム &gt; フィギュア &gt; ゲームキャラクター &gt; すーぱーそに子</t>
  </si>
  <si>
    <t>オークション &gt; おもちゃ、ゲーム &gt; フィギュア &gt; ゲームキャラクター &gt; ときめきメモリアル</t>
  </si>
  <si>
    <t>アイドルマスター</t>
  </si>
  <si>
    <t>オークション &gt; おもちゃ、ゲーム &gt; フィギュア &gt; ゲームキャラクター &gt; アイドルマスター</t>
  </si>
  <si>
    <t>キングダムハーツ</t>
  </si>
  <si>
    <t>オークション &gt; おもちゃ、ゲーム &gt; フィギュア &gt; ゲームキャラクター &gt; キングダムハーツ</t>
  </si>
  <si>
    <t>クイーンズブレイド</t>
  </si>
  <si>
    <t>オークション &gt; おもちゃ、ゲーム &gt; フィギュア &gt; ゲームキャラクター &gt; クイーンズブレイド</t>
  </si>
  <si>
    <t>オークション &gt; おもちゃ、ゲーム &gt; フィギュア &gt; ゲームキャラクター &gt; サクラ大戦</t>
  </si>
  <si>
    <t>サムライスピリッツ</t>
  </si>
  <si>
    <t>オークション &gt; おもちゃ、ゲーム &gt; フィギュア &gt; ゲームキャラクター &gt; サムライスピリッツ</t>
  </si>
  <si>
    <t>シャイニング・ウィンド</t>
  </si>
  <si>
    <t>オークション &gt; おもちゃ、ゲーム &gt; フィギュア &gt; ゲームキャラクター &gt; シャイニング・ウィンド</t>
  </si>
  <si>
    <t>スーパーマリオ</t>
  </si>
  <si>
    <t>オークション &gt; おもちゃ、ゲーム &gt; フィギュア &gt; ゲームキャラクター &gt; スーパーマリオ</t>
  </si>
  <si>
    <t>スーパーロボット大戦</t>
  </si>
  <si>
    <t>オークション &gt; おもちゃ、ゲーム &gt; フィギュア &gt; ゲームキャラクター &gt; スーパーロボット大戦</t>
  </si>
  <si>
    <t>ストリートファイター</t>
  </si>
  <si>
    <t>オークション &gt; おもちゃ、ゲーム &gt; フィギュア &gt; ゲームキャラクター &gt; ストリートファイター</t>
  </si>
  <si>
    <t>オークション &gt; おもちゃ、ゲーム &gt; フィギュア &gt; ゲームキャラクター &gt; センチメンタル・グラフティ</t>
  </si>
  <si>
    <t>デジタルモンスター</t>
  </si>
  <si>
    <t>オークション &gt; おもちゃ、ゲーム &gt; フィギュア &gt; ゲームキャラクター &gt; デジタルモンスター</t>
  </si>
  <si>
    <t>デッド オア アライブ</t>
  </si>
  <si>
    <t>オークション &gt; おもちゃ、ゲーム &gt; フィギュア &gt; ゲームキャラクター &gt; デッド オア アライブ</t>
  </si>
  <si>
    <t>オークション &gt; おもちゃ、ゲーム &gt; フィギュア &gt; ゲームキャラクター &gt; ドラゴンクエスト</t>
  </si>
  <si>
    <t>オークション &gt; おもちゃ、ゲーム &gt; フィギュア &gt; ゲームキャラクター &gt; ファイナルファンタジー</t>
  </si>
  <si>
    <t>ペルソナシリーズ</t>
  </si>
  <si>
    <t>オークション &gt; おもちゃ、ゲーム &gt; フィギュア &gt; ゲームキャラクター &gt; ペルソナシリーズ</t>
  </si>
  <si>
    <t>モンスターハンター</t>
  </si>
  <si>
    <t>オークション &gt; おもちゃ、ゲーム &gt; フィギュア &gt; ゲームキャラクター &gt; モンスターハンター</t>
  </si>
  <si>
    <t>ラブプラス</t>
  </si>
  <si>
    <t>オークション &gt; おもちゃ、ゲーム &gt; フィギュア &gt; ゲームキャラクター &gt; ラブプラス</t>
  </si>
  <si>
    <t>リトルバスターズ！</t>
  </si>
  <si>
    <t>オークション &gt; おもちゃ、ゲーム &gt; フィギュア &gt; ゲームキャラクター &gt; リトルバスターズ！</t>
  </si>
  <si>
    <t>戦国BASARA</t>
  </si>
  <si>
    <t>オークション &gt; おもちゃ、ゲーム &gt; フィギュア &gt; ゲームキャラクター &gt; 戦国BASARA</t>
  </si>
  <si>
    <t>東方Project</t>
  </si>
  <si>
    <t>オークション &gt; おもちゃ、ゲーム &gt; フィギュア &gt; ゲームキャラクター &gt; 東方Project</t>
  </si>
  <si>
    <t>武装神姫</t>
  </si>
  <si>
    <t>オークション &gt; おもちゃ、ゲーム &gt; フィギュア &gt; ゲームキャラクター &gt; 武装神姫</t>
  </si>
  <si>
    <t>オークション &gt; おもちゃ、ゲーム &gt; フィギュア &gt; ゲームキャラクター &gt; その他</t>
  </si>
  <si>
    <t>13日の金曜日</t>
  </si>
  <si>
    <t>オークション &gt; おもちゃ、ゲーム &gt; フィギュア &gt; SF、ファンタジー、ホラー &gt; 13日の金曜日</t>
  </si>
  <si>
    <t>アイアンマン</t>
  </si>
  <si>
    <t>オークション &gt; おもちゃ、ゲーム &gt; フィギュア &gt; SF、ファンタジー、ホラー &gt; アイアンマン</t>
  </si>
  <si>
    <t>エイリアン</t>
  </si>
  <si>
    <t>オークション &gt; おもちゃ、ゲーム &gt; フィギュア &gt; SF、ファンタジー、ホラー &gt; エイリアン</t>
  </si>
  <si>
    <t>エルム街の悪夢</t>
  </si>
  <si>
    <t>オークション &gt; おもちゃ、ゲーム &gt; フィギュア &gt; SF、ファンタジー、ホラー &gt; エルム街の悪夢</t>
  </si>
  <si>
    <t>ザ・ナイトメア・ビフォア・クリスマス</t>
  </si>
  <si>
    <t>オークション &gt; おもちゃ、ゲーム &gt; フィギュア &gt; SF、ファンタジー、ホラー &gt; ザ・ナイトメア・ビフォア・クリスマス</t>
  </si>
  <si>
    <t>スター・ウォーズシリーズ</t>
  </si>
  <si>
    <t>オークション &gt; おもちゃ、ゲーム &gt; フィギュア &gt; SF、ファンタジー、ホラー &gt; スター・ウォーズシリーズ</t>
  </si>
  <si>
    <t>スタートレック</t>
  </si>
  <si>
    <t>オークション &gt; おもちゃ、ゲーム &gt; フィギュア &gt; SF、ファンタジー、ホラー &gt; スタートレック</t>
  </si>
  <si>
    <t>ターミネーター</t>
  </si>
  <si>
    <t>オークション &gt; おもちゃ、ゲーム &gt; フィギュア &gt; SF、ファンタジー、ホラー &gt; ターミネーター</t>
  </si>
  <si>
    <t>プレデター</t>
  </si>
  <si>
    <t>オークション &gt; おもちゃ、ゲーム &gt; フィギュア &gt; SF、ファンタジー、ホラー &gt; プレデター</t>
  </si>
  <si>
    <t>猿の惑星</t>
  </si>
  <si>
    <t>オークション &gt; おもちゃ、ゲーム &gt; フィギュア &gt; SF、ファンタジー、ホラー &gt; 猿の惑星</t>
  </si>
  <si>
    <t>オークション &gt; おもちゃ、ゲーム &gt; フィギュア &gt; SF、ファンタジー、ホラー &gt; その他</t>
  </si>
  <si>
    <t>Xメン</t>
  </si>
  <si>
    <t>オークション &gt; おもちゃ、ゲーム &gt; フィギュア &gt; アメコミ &gt; Xメン</t>
  </si>
  <si>
    <t>スーパーマン</t>
  </si>
  <si>
    <t>オークション &gt; おもちゃ、ゲーム &gt; フィギュア &gt; アメコミ &gt; スーパーマン</t>
  </si>
  <si>
    <t>スパイダーマン</t>
  </si>
  <si>
    <t>オークション &gt; おもちゃ、ゲーム &gt; フィギュア &gt; アメコミ &gt; スパイダーマン</t>
  </si>
  <si>
    <t>スポーン</t>
  </si>
  <si>
    <t>オークション &gt; おもちゃ、ゲーム &gt; フィギュア &gt; アメコミ &gt; スポーン</t>
  </si>
  <si>
    <t>バットマン</t>
  </si>
  <si>
    <t>オークション &gt; おもちゃ、ゲーム &gt; フィギュア &gt; アメコミ &gt; バットマン</t>
  </si>
  <si>
    <t>オークション &gt; おもちゃ、ゲーム &gt; フィギュア &gt; アメコミ &gt; その他</t>
  </si>
  <si>
    <t>サッカー</t>
  </si>
  <si>
    <t>オークション &gt; おもちゃ、ゲーム &gt; フィギュア &gt; スポーツ &gt; サッカー</t>
  </si>
  <si>
    <t>バスケット</t>
  </si>
  <si>
    <t>オークション &gt; おもちゃ、ゲーム &gt; フィギュア &gt; スポーツ &gt; バスケット</t>
  </si>
  <si>
    <t>プロレス、格闘技</t>
  </si>
  <si>
    <t>オークション &gt; おもちゃ、ゲーム &gt; フィギュア &gt; スポーツ &gt; プロレス、格闘技</t>
  </si>
  <si>
    <t>プロ野球</t>
  </si>
  <si>
    <t>オークション &gt; おもちゃ、ゲーム &gt; フィギュア &gt; スポーツ &gt; プロ野球</t>
  </si>
  <si>
    <t>オークション &gt; おもちゃ、ゲーム &gt; フィギュア &gt; スポーツ &gt; その他</t>
  </si>
  <si>
    <t>G.I.ジョー</t>
  </si>
  <si>
    <t>オークション &gt; おもちゃ、ゲーム &gt; フィギュア &gt; ミリタリー &gt; G.I.ジョー</t>
  </si>
  <si>
    <t>クールガール</t>
  </si>
  <si>
    <t>オークション &gt; おもちゃ、ゲーム &gt; フィギュア &gt; ミリタリー &gt; クールガール</t>
  </si>
  <si>
    <t>軍服、洋服</t>
  </si>
  <si>
    <t>オークション &gt; おもちゃ、ゲーム &gt; フィギュア &gt; ミリタリー &gt; 軍服、洋服</t>
  </si>
  <si>
    <t>乗り物</t>
  </si>
  <si>
    <t>オークション &gt; おもちゃ、ゲーム &gt; フィギュア &gt; ミリタリー &gt; 乗り物</t>
  </si>
  <si>
    <t>武器、個人装備</t>
  </si>
  <si>
    <t>オークション &gt; おもちゃ、ゲーム &gt; フィギュア &gt; ミリタリー &gt; 武器、個人装備</t>
  </si>
  <si>
    <t>オークション &gt; おもちゃ、ゲーム &gt; フィギュア &gt; ミリタリー &gt; その他</t>
  </si>
  <si>
    <t>くまのパディントン</t>
  </si>
  <si>
    <t>オークション &gt; おもちゃ、ゲーム &gt; 人形、キャラクタードール &gt; キャラクタードール &gt; くまのパディントン</t>
  </si>
  <si>
    <t>ぞうのババール</t>
  </si>
  <si>
    <t>オークション &gt; おもちゃ、ゲーム &gt; 人形、キャラクタードール &gt; キャラクタードール &gt; ぞうのババール</t>
  </si>
  <si>
    <t>たれパンダ</t>
  </si>
  <si>
    <t>オークション &gt; おもちゃ、ゲーム &gt; 人形、キャラクタードール &gt; キャラクタードール &gt; たれパンダ</t>
  </si>
  <si>
    <t>となりのトトロ</t>
  </si>
  <si>
    <t>オークション &gt; おもちゃ、ゲーム &gt; 人形、キャラクタードール &gt; キャラクタードール &gt; となりのトトロ</t>
  </si>
  <si>
    <t>どこでもいっしょ</t>
  </si>
  <si>
    <t>オークション &gt; おもちゃ、ゲーム &gt; 人形、キャラクタードール &gt; キャラクタードール &gt; どこでもいっしょ</t>
  </si>
  <si>
    <t>ひとまねこざる</t>
  </si>
  <si>
    <t>オークション &gt; おもちゃ、ゲーム &gt; 人形、キャラクタードール &gt; キャラクタードール &gt; ひとまねこざる</t>
  </si>
  <si>
    <t>アンパンマン</t>
  </si>
  <si>
    <t>オークション &gt; おもちゃ、ゲーム &gt; 人形、キャラクタードール &gt; キャラクタードール &gt; アンパンマン</t>
  </si>
  <si>
    <t>ウッドペッカー</t>
  </si>
  <si>
    <t>オークション &gt; おもちゃ、ゲーム &gt; 人形、キャラクタードール &gt; キャラクタードール &gt; ウッドペッカー</t>
  </si>
  <si>
    <t>オバケのＱ太郎</t>
  </si>
  <si>
    <t>オークション &gt; おもちゃ、ゲーム &gt; 人形、キャラクタードール &gt; キャラクタードール &gt; オバケのＱ太郎</t>
  </si>
  <si>
    <t>ガーフィールド</t>
  </si>
  <si>
    <t>オークション &gt; おもちゃ、ゲーム &gt; 人形、キャラクタードール &gt; キャラクタードール &gt; ガーフィールド</t>
  </si>
  <si>
    <t>キャスパー</t>
  </si>
  <si>
    <t>オークション &gt; おもちゃ、ゲーム &gt; 人形、キャラクタードール &gt; キャラクタードール &gt; キャスパー</t>
  </si>
  <si>
    <t>キューピー</t>
  </si>
  <si>
    <t>オークション &gt; おもちゃ、ゲーム &gt; 人形、キャラクタードール &gt; キャラクタードール &gt; キューピー</t>
  </si>
  <si>
    <t>キューブリック、ベアブリック</t>
  </si>
  <si>
    <t>オークション &gt; おもちゃ、ゲーム &gt; 人形、キャラクタードール &gt; キャラクタードール &gt; キューブリック、ベアブリック</t>
  </si>
  <si>
    <t>グレムリン</t>
  </si>
  <si>
    <t>オークション &gt; おもちゃ、ゲーム &gt; 人形、キャラクタードール &gt; キャラクタードール &gt; グレムリン</t>
  </si>
  <si>
    <t>ケンケン</t>
  </si>
  <si>
    <t>オークション &gt; おもちゃ、ゲーム &gt; 人形、キャラクタードール &gt; キャラクタードール &gt; ケンケン</t>
  </si>
  <si>
    <t>シルバニアファミリー</t>
  </si>
  <si>
    <t>オークション &gt; おもちゃ、ゲーム &gt; 人形、キャラクタードール &gt; キャラクタードール &gt; シルバニアファミリー</t>
  </si>
  <si>
    <t>スノーマン</t>
  </si>
  <si>
    <t>オークション &gt; おもちゃ、ゲーム &gt; 人形、キャラクタードール &gt; キャラクタードール &gt; スノーマン</t>
  </si>
  <si>
    <t>スマーフ</t>
  </si>
  <si>
    <t>オークション &gt; おもちゃ、ゲーム &gt; 人形、キャラクタードール &gt; キャラクタードール &gt; スマーフ</t>
  </si>
  <si>
    <t>セサミストリート</t>
  </si>
  <si>
    <t>オークション &gt; おもちゃ、ゲーム &gt; 人形、キャラクタードール &gt; キャラクタードール &gt; セサミストリート</t>
  </si>
  <si>
    <t>ダッコちゃん</t>
  </si>
  <si>
    <t>オークション &gt; おもちゃ、ゲーム &gt; 人形、キャラクタードール &gt; キャラクタードール &gt; ダッコちゃん</t>
  </si>
  <si>
    <t>テレタビーズ</t>
  </si>
  <si>
    <t>オークション &gt; おもちゃ、ゲーム &gt; 人形、キャラクタードール &gt; キャラクタードール &gt; テレタビーズ</t>
  </si>
  <si>
    <t>オークション &gt; おもちゃ、ゲーム &gt; 人形、キャラクタードール &gt; キャラクタードール &gt; ディズニー</t>
  </si>
  <si>
    <t>トッポジージョ</t>
  </si>
  <si>
    <t>オークション &gt; おもちゃ、ゲーム &gt; 人形、キャラクタードール &gt; キャラクタードール &gt; トッポジージョ</t>
  </si>
  <si>
    <t>トム&amp;ジェリー</t>
  </si>
  <si>
    <t>オークション &gt; おもちゃ、ゲーム &gt; 人形、キャラクタードール &gt; キャラクタードール &gt; トム&amp;ジェリー</t>
  </si>
  <si>
    <t>ドラえもん</t>
  </si>
  <si>
    <t>オークション &gt; おもちゃ、ゲーム &gt; 人形、キャラクタードール &gt; キャラクタードール &gt; ドラえもん</t>
  </si>
  <si>
    <t>ハローキティ</t>
  </si>
  <si>
    <t>オークション &gt; おもちゃ、ゲーム &gt; 人形、キャラクタードール &gt; キャラクタードール &gt; ハローキティ</t>
  </si>
  <si>
    <t>バーバパパ</t>
  </si>
  <si>
    <t>オークション &gt; おもちゃ、ゲーム &gt; 人形、キャラクタードール &gt; キャラクタードール &gt; バーバパパ</t>
  </si>
  <si>
    <t>ピーターラビット</t>
  </si>
  <si>
    <t>オークション &gt; おもちゃ、ゲーム &gt; 人形、キャラクタードール &gt; キャラクタードール &gt; ピーターラビット</t>
  </si>
  <si>
    <t>ピーナッツ、スヌーピー</t>
  </si>
  <si>
    <t>オークション &gt; おもちゃ、ゲーム &gt; 人形、キャラクタードール &gt; キャラクタードール &gt; ピーナッツ、スヌーピー</t>
  </si>
  <si>
    <t>ピンクパンサー</t>
  </si>
  <si>
    <t>オークション &gt; おもちゃ、ゲーム &gt; 人形、キャラクタードール &gt; キャラクタードール &gt; ピンクパンサー</t>
  </si>
  <si>
    <t>ピングー</t>
  </si>
  <si>
    <t>オークション &gt; おもちゃ、ゲーム &gt; 人形、キャラクタードール &gt; キャラクタードール &gt; ピングー</t>
  </si>
  <si>
    <t>ファーファ</t>
  </si>
  <si>
    <t>オークション &gt; おもちゃ、ゲーム &gt; 人形、キャラクタードール &gt; キャラクタードール &gt; ファーファ</t>
  </si>
  <si>
    <t>ブライス</t>
  </si>
  <si>
    <t>オークション &gt; おもちゃ、ゲーム &gt; 人形、キャラクタードール &gt; キャラクタードール &gt; ブライス</t>
  </si>
  <si>
    <t>プーリップ</t>
  </si>
  <si>
    <t>オークション &gt; おもちゃ、ゲーム &gt; 人形、キャラクタードール &gt; キャラクタードール &gt; プーリップ</t>
  </si>
  <si>
    <t>ポケットモンスター</t>
  </si>
  <si>
    <t>オークション &gt; おもちゃ、ゲーム &gt; 人形、キャラクタードール &gt; キャラクタードール &gt; ポケットモンスター</t>
  </si>
  <si>
    <t>ポパイ</t>
  </si>
  <si>
    <t>オークション &gt; おもちゃ、ゲーム &gt; 人形、キャラクタードール &gt; キャラクタードール &gt; ポパイ</t>
  </si>
  <si>
    <t>ミッフィー</t>
  </si>
  <si>
    <t>オークション &gt; おもちゃ、ゲーム &gt; 人形、キャラクタードール &gt; キャラクタードール &gt; ミッフィー</t>
  </si>
  <si>
    <t>ムーミン</t>
  </si>
  <si>
    <t>オークション &gt; おもちゃ、ゲーム &gt; 人形、キャラクタードール &gt; キャラクタードール &gt; ムーミン</t>
  </si>
  <si>
    <t>オークション &gt; おもちゃ、ゲーム &gt; 人形、キャラクタードール &gt; キャラクタードール &gt; その他</t>
  </si>
  <si>
    <t>アーマード・コア</t>
  </si>
  <si>
    <t>オークション &gt; おもちゃ、ゲーム &gt; プラモデル &gt; キャラクター &gt; アーマード・コア</t>
  </si>
  <si>
    <t>オークション &gt; おもちゃ、ゲーム &gt; プラモデル &gt; キャラクター &gt; ウルトラマン</t>
  </si>
  <si>
    <t>オークション &gt; おもちゃ、ゲーム &gt; プラモデル &gt; キャラクター &gt; 宇宙戦艦ヤマト</t>
  </si>
  <si>
    <t>オークション &gt; おもちゃ、ゲーム &gt; プラモデル &gt; キャラクター &gt; ガンダム</t>
  </si>
  <si>
    <t>オークション &gt; おもちゃ、ゲーム &gt; プラモデル &gt; キャラクター &gt; コードギアス</t>
  </si>
  <si>
    <t>ゴジラ</t>
  </si>
  <si>
    <t>オークション &gt; おもちゃ、ゲーム &gt; プラモデル &gt; キャラクター &gt; ゴジラ</t>
  </si>
  <si>
    <t>機動警察パトレイバー</t>
  </si>
  <si>
    <t>オークション &gt; おもちゃ、ゲーム &gt; プラモデル &gt; キャラクター &gt; 機動警察パトレイバー</t>
  </si>
  <si>
    <t>銀河漂流バイファム</t>
  </si>
  <si>
    <t>オークション &gt; おもちゃ、ゲーム &gt; プラモデル &gt; キャラクター &gt; 銀河漂流バイファム</t>
  </si>
  <si>
    <t>サンダーバード</t>
  </si>
  <si>
    <t>オークション &gt; おもちゃ、ゲーム &gt; プラモデル &gt; キャラクター &gt; サンダーバード</t>
  </si>
  <si>
    <t>オークション &gt; おもちゃ、ゲーム &gt; プラモデル &gt; キャラクター &gt; スーパーロボット大戦</t>
  </si>
  <si>
    <t>スター・ウォーズ</t>
  </si>
  <si>
    <t>オークション &gt; おもちゃ、ゲーム &gt; プラモデル &gt; キャラクター &gt; スター・ウォーズ</t>
  </si>
  <si>
    <t>オークション &gt; おもちゃ、ゲーム &gt; プラモデル &gt; キャラクター &gt; スタートレック</t>
  </si>
  <si>
    <t>スタジオジブリ</t>
  </si>
  <si>
    <t>オークション &gt; おもちゃ、ゲーム &gt; プラモデル &gt; キャラクター &gt; スタジオジブリ</t>
  </si>
  <si>
    <t>ゾイド</t>
  </si>
  <si>
    <t>オークション &gt; おもちゃ、ゲーム &gt; プラモデル &gt; キャラクター &gt; ゾイド</t>
  </si>
  <si>
    <t>重戦機エルガイム</t>
  </si>
  <si>
    <t>オークション &gt; おもちゃ、ゲーム &gt; プラモデル &gt; キャラクター &gt; 重戦機エルガイム</t>
  </si>
  <si>
    <t>オークション &gt; おもちゃ、ゲーム &gt; プラモデル &gt; キャラクター &gt; 新世紀エヴァンゲリオン</t>
  </si>
  <si>
    <t>戦闘メカザブングル</t>
  </si>
  <si>
    <t>オークション &gt; おもちゃ、ゲーム &gt; プラモデル &gt; キャラクター &gt; 戦闘メカザブングル</t>
  </si>
  <si>
    <t>装甲騎兵ボトムズ</t>
  </si>
  <si>
    <t>オークション &gt; おもちゃ、ゲーム &gt; プラモデル &gt; キャラクター &gt; 装甲騎兵ボトムズ</t>
  </si>
  <si>
    <t>ダンボール戦機</t>
  </si>
  <si>
    <t>オークション &gt; おもちゃ、ゲーム &gt; プラモデル &gt; キャラクター &gt; ダンボール戦機</t>
  </si>
  <si>
    <t>太陽の牙ダグラム</t>
  </si>
  <si>
    <t>オークション &gt; おもちゃ、ゲーム &gt; プラモデル &gt; キャラクター &gt; 太陽の牙ダグラム</t>
  </si>
  <si>
    <t>伝説巨神イデオン</t>
  </si>
  <si>
    <t>オークション &gt; おもちゃ、ゲーム &gt; プラモデル &gt; キャラクター &gt; 伝説巨神イデオン</t>
  </si>
  <si>
    <t>バーチャロン</t>
  </si>
  <si>
    <t>オークション &gt; おもちゃ、ゲーム &gt; プラモデル &gt; キャラクター &gt; バーチャロン</t>
  </si>
  <si>
    <t>マクロス</t>
  </si>
  <si>
    <t>オークション &gt; おもちゃ、ゲーム &gt; プラモデル &gt; キャラクター &gt; マクロス</t>
  </si>
  <si>
    <t>マシーネンクリーガー</t>
  </si>
  <si>
    <t>オークション &gt; おもちゃ、ゲーム &gt; プラモデル &gt; キャラクター &gt; マシーネンクリーガー</t>
  </si>
  <si>
    <t>マジンガーZ</t>
  </si>
  <si>
    <t>オークション &gt; おもちゃ、ゲーム &gt; プラモデル &gt; キャラクター &gt; マジンガーZ</t>
  </si>
  <si>
    <t>魔神英雄伝ワタル</t>
  </si>
  <si>
    <t>オークション &gt; おもちゃ、ゲーム &gt; プラモデル &gt; キャラクター &gt; 魔神英雄伝ワタル</t>
  </si>
  <si>
    <t>ロボダッチ</t>
  </si>
  <si>
    <t>オークション &gt; おもちゃ、ゲーム &gt; プラモデル &gt; キャラクター &gt; ロボダッチ</t>
  </si>
  <si>
    <t>完成品</t>
  </si>
  <si>
    <t>オークション &gt; おもちゃ、ゲーム &gt; プラモデル &gt; キャラクター &gt; 完成品</t>
  </si>
  <si>
    <t>オークション &gt; おもちゃ、ゲーム &gt; プラモデル &gt; キャラクター &gt; その他</t>
  </si>
  <si>
    <t>オークション &gt; おもちゃ、ゲーム &gt; プラモデル &gt; 自動車 &gt; 完成品</t>
  </si>
  <si>
    <t>乗用車</t>
  </si>
  <si>
    <t>オークション &gt; おもちゃ、ゲーム &gt; プラモデル &gt; 自動車 &gt; 乗用車</t>
  </si>
  <si>
    <t>レーシングカー</t>
  </si>
  <si>
    <t>オークション &gt; おもちゃ、ゲーム &gt; プラモデル &gt; 自動車 &gt; レーシングカー</t>
  </si>
  <si>
    <t>トラック、トレーラー</t>
  </si>
  <si>
    <t>オークション &gt; おもちゃ、ゲーム &gt; プラモデル &gt; 自動車 &gt; トラック、トレーラー</t>
  </si>
  <si>
    <t>バス</t>
  </si>
  <si>
    <t>オークション &gt; おもちゃ、ゲーム &gt; プラモデル &gt; 自動車 &gt; バス</t>
  </si>
  <si>
    <t>オークション &gt; おもちゃ、ゲーム &gt; プラモデル &gt; 自動車 &gt; その他</t>
  </si>
  <si>
    <t>オークション &gt; おもちゃ、ゲーム &gt; プラモデル &gt; 航空機 &gt; 完成品</t>
  </si>
  <si>
    <t>軍用機</t>
  </si>
  <si>
    <t>オークション &gt; おもちゃ、ゲーム &gt; プラモデル &gt; 航空機 &gt; 軍用機</t>
  </si>
  <si>
    <t>旅客機</t>
  </si>
  <si>
    <t>オークション &gt; おもちゃ、ゲーム &gt; プラモデル &gt; 航空機 &gt; 旅客機</t>
  </si>
  <si>
    <t>オークション &gt; おもちゃ、ゲーム &gt; プラモデル &gt; 航空機 &gt; その他</t>
  </si>
  <si>
    <t>オークション &gt; おもちゃ、ゲーム &gt; プラモデル &gt; オートバイ &gt; 完成品</t>
  </si>
  <si>
    <t>カワサキ</t>
  </si>
  <si>
    <t>オークション &gt; おもちゃ、ゲーム &gt; プラモデル &gt; オートバイ &gt; カワサキ</t>
  </si>
  <si>
    <t>スズキ</t>
  </si>
  <si>
    <t>オークション &gt; おもちゃ、ゲーム &gt; プラモデル &gt; オートバイ &gt; スズキ</t>
  </si>
  <si>
    <t>ホンダ</t>
  </si>
  <si>
    <t>オークション &gt; おもちゃ、ゲーム &gt; プラモデル &gt; オートバイ &gt; ホンダ</t>
  </si>
  <si>
    <t>ヤマハ</t>
  </si>
  <si>
    <t>オークション &gt; おもちゃ、ゲーム &gt; プラモデル &gt; オートバイ &gt; ヤマハ</t>
  </si>
  <si>
    <t>ハーレーダビッドソン</t>
  </si>
  <si>
    <t>オークション &gt; おもちゃ、ゲーム &gt; プラモデル &gt; オートバイ &gt; ハーレーダビッドソン</t>
  </si>
  <si>
    <t>オークション &gt; おもちゃ、ゲーム &gt; プラモデル &gt; オートバイ &gt; その他</t>
  </si>
  <si>
    <t>オークション &gt; おもちゃ、ゲーム &gt; プラモデル &gt; 戦車、軍用車両 &gt; 完成品</t>
  </si>
  <si>
    <t>自走砲（SPA）</t>
  </si>
  <si>
    <t>オークション &gt; おもちゃ、ゲーム &gt; プラモデル &gt; 戦車、軍用車両 &gt; 自走砲（SPA）</t>
  </si>
  <si>
    <t>主力戦車（MBT）</t>
  </si>
  <si>
    <t>オークション &gt; おもちゃ、ゲーム &gt; プラモデル &gt; 戦車、軍用車両 &gt; 主力戦車（MBT）</t>
  </si>
  <si>
    <t>装甲兵員輸送車（APC）</t>
  </si>
  <si>
    <t>オークション &gt; おもちゃ、ゲーム &gt; プラモデル &gt; 戦車、軍用車両 &gt; 装甲兵員輸送車（APC）</t>
  </si>
  <si>
    <t>対空戦車（AAT）</t>
  </si>
  <si>
    <t>オークション &gt; おもちゃ、ゲーム &gt; プラモデル &gt; 戦車、軍用車両 &gt; 対空戦車（AAT）</t>
  </si>
  <si>
    <t>歩兵戦闘車（AIFV）</t>
  </si>
  <si>
    <t>オークション &gt; おもちゃ、ゲーム &gt; プラモデル &gt; 戦車、軍用車両 &gt; 歩兵戦闘車（AIFV）</t>
  </si>
  <si>
    <t>オークション &gt; おもちゃ、ゲーム &gt; プラモデル &gt; 戦車、軍用車両 &gt; その他</t>
  </si>
  <si>
    <t>オークション &gt; おもちゃ、ゲーム &gt; プラモデル &gt; 船、ボート &gt; 完成品</t>
  </si>
  <si>
    <t>艦艇</t>
  </si>
  <si>
    <t>オークション &gt; おもちゃ、ゲーム &gt; プラモデル &gt; 船、ボート &gt; 艦艇</t>
  </si>
  <si>
    <t>オークション &gt; おもちゃ、ゲーム &gt; プラモデル &gt; 船、ボート &gt; その他</t>
  </si>
  <si>
    <t>工具</t>
  </si>
  <si>
    <t>オークション &gt; ホビー、カルチャー &gt; 模型製作用品 &gt; 工具</t>
  </si>
  <si>
    <t>塗装用品</t>
  </si>
  <si>
    <t>オークション &gt; ホビー、カルチャー &gt; 模型製作用品 &gt; 塗装用品</t>
  </si>
  <si>
    <t>接着用品</t>
  </si>
  <si>
    <t>オークション &gt; ホビー、カルチャー &gt; 模型製作用品 &gt; 接着用品</t>
  </si>
  <si>
    <t>ドローン本体</t>
  </si>
  <si>
    <t>オークション &gt; おもちゃ、ゲーム &gt; ホビーラジコン &gt; ドローン &gt; ドローン本体</t>
  </si>
  <si>
    <t>パーツ、アクセサリー</t>
  </si>
  <si>
    <t>オークション &gt; おもちゃ、ゲーム &gt; ホビーラジコン &gt; ドローン &gt; パーツ、アクセサリー</t>
  </si>
  <si>
    <t>完成品（エンジン）</t>
  </si>
  <si>
    <t>オークション &gt; おもちゃ、ゲーム &gt; ホビーラジコン &gt; 自動車 &gt; 完成品（エンジン）</t>
  </si>
  <si>
    <t>完成品（電動）</t>
  </si>
  <si>
    <t>オークション &gt; おもちゃ、ゲーム &gt; ホビーラジコン &gt; 自動車 &gt; 完成品（電動）</t>
  </si>
  <si>
    <t>組立キット（エンジン）</t>
  </si>
  <si>
    <t>オークション &gt; おもちゃ、ゲーム &gt; ホビーラジコン &gt; 自動車 &gt; 組立キット（エンジン）</t>
  </si>
  <si>
    <t>組立キット（電動）</t>
  </si>
  <si>
    <t>オークション &gt; おもちゃ、ゲーム &gt; ホビーラジコン &gt; 自動車 &gt; 組立キット（電動）</t>
  </si>
  <si>
    <t>パーツ</t>
  </si>
  <si>
    <t>オークション &gt; おもちゃ、ゲーム &gt; ホビーラジコン &gt; 自動車 &gt; パーツ</t>
  </si>
  <si>
    <t>オークション &gt; おもちゃ、ゲーム &gt; ホビーラジコン &gt; 自動車 &gt; その他</t>
  </si>
  <si>
    <t>オークション &gt; おもちゃ、ゲーム &gt; ホビーラジコン &gt; 飛行機 &gt; 完成品（エンジン）</t>
  </si>
  <si>
    <t>オークション &gt; おもちゃ、ゲーム &gt; ホビーラジコン &gt; 飛行機 &gt; 完成品（電動）</t>
  </si>
  <si>
    <t>オークション &gt; おもちゃ、ゲーム &gt; ホビーラジコン &gt; 飛行機 &gt; 組立キット（エンジン）</t>
  </si>
  <si>
    <t>オークション &gt; おもちゃ、ゲーム &gt; ホビーラジコン &gt; 飛行機 &gt; 組立キット（電動）</t>
  </si>
  <si>
    <t>オークション &gt; おもちゃ、ゲーム &gt; ホビーラジコン &gt; 飛行機 &gt; パーツ</t>
  </si>
  <si>
    <t>オークション &gt; おもちゃ、ゲーム &gt; ホビーラジコン &gt; 飛行機 &gt; その他</t>
  </si>
  <si>
    <t>オークション &gt; おもちゃ、ゲーム &gt; ホビーラジコン &gt; ヘリコプター &gt; 完成品（エンジン）</t>
  </si>
  <si>
    <t>オークション &gt; おもちゃ、ゲーム &gt; ホビーラジコン &gt; ヘリコプター &gt; 完成品（電動）</t>
  </si>
  <si>
    <t>オークション &gt; おもちゃ、ゲーム &gt; ホビーラジコン &gt; ヘリコプター &gt; 組立キット（エンジン）</t>
  </si>
  <si>
    <t>オークション &gt; おもちゃ、ゲーム &gt; ホビーラジコン &gt; ヘリコプター &gt; 組立キット（電動）</t>
  </si>
  <si>
    <t>オークション &gt; おもちゃ、ゲーム &gt; ホビーラジコン &gt; ヘリコプター &gt; パーツ</t>
  </si>
  <si>
    <t>オークション &gt; おもちゃ、ゲーム &gt; ホビーラジコン &gt; ヘリコプター &gt; その他</t>
  </si>
  <si>
    <t>プロポセット</t>
  </si>
  <si>
    <t>オークション &gt; おもちゃ、ゲーム &gt; ホビーラジコン &gt; プロポ &gt; プロポセット</t>
  </si>
  <si>
    <t>サーボ</t>
  </si>
  <si>
    <t>オークション &gt; おもちゃ、ゲーム &gt; ホビーラジコン &gt; プロポ &gt; サーボ</t>
  </si>
  <si>
    <t>受信機</t>
  </si>
  <si>
    <t>オークション &gt; おもちゃ、ゲーム &gt; ホビーラジコン &gt; プロポ &gt; 受信機</t>
  </si>
  <si>
    <t>送信機</t>
  </si>
  <si>
    <t>オークション &gt; おもちゃ、ゲーム &gt; ホビーラジコン &gt; プロポ &gt; 送信機</t>
  </si>
  <si>
    <t>オークション &gt; おもちゃ、ゲーム &gt; ホビーラジコン &gt; プロポ &gt; その他</t>
  </si>
  <si>
    <t>hpi・racing</t>
  </si>
  <si>
    <t>オークション &gt; おもちゃ、ゲーム &gt; ミニカー &gt; 自動車 &gt; hpi・racing</t>
  </si>
  <si>
    <t>アーテル</t>
  </si>
  <si>
    <t>オークション &gt; おもちゃ、ゲーム &gt; ミニカー &gt; 自動車 &gt; アーテル</t>
  </si>
  <si>
    <t>アオシマ</t>
  </si>
  <si>
    <t>オークション &gt; おもちゃ、ゲーム &gt; ミニカー &gt; 自動車 &gt; アオシマ</t>
  </si>
  <si>
    <t>イクソ</t>
  </si>
  <si>
    <t>オークション &gt; おもちゃ、ゲーム &gt; ミニカー &gt; 自動車 &gt; イクソ</t>
  </si>
  <si>
    <t>ウェリー</t>
  </si>
  <si>
    <t>オークション &gt; おもちゃ、ゲーム &gt; ミニカー &gt; 自動車 &gt; ウェリー</t>
  </si>
  <si>
    <t>エグゾト</t>
  </si>
  <si>
    <t>オークション &gt; おもちゃ、ゲーム &gt; ミニカー &gt; 自動車 &gt; エグゾト</t>
  </si>
  <si>
    <t>エブロ</t>
  </si>
  <si>
    <t>オークション &gt; おもちゃ、ゲーム &gt; ミニカー &gt; 自動車 &gt; エブロ</t>
  </si>
  <si>
    <t>エムテック</t>
  </si>
  <si>
    <t>オークション &gt; おもちゃ、ゲーム &gt; ミニカー &gt; 自動車 &gt; エムテック</t>
  </si>
  <si>
    <t>オートアート</t>
  </si>
  <si>
    <t>オークション &gt; おもちゃ、ゲーム &gt; ミニカー &gt; 自動車 &gt; オートアート</t>
  </si>
  <si>
    <t>コーギー</t>
  </si>
  <si>
    <t>オークション &gt; おもちゃ、ゲーム &gt; ミニカー &gt; 自動車 &gt; コーギー</t>
  </si>
  <si>
    <t>コナミ</t>
  </si>
  <si>
    <t>オークション &gt; おもちゃ、ゲーム &gt; ミニカー &gt; 自動車 &gt; コナミ</t>
  </si>
  <si>
    <t>京商</t>
  </si>
  <si>
    <t>オークション &gt; おもちゃ、ゲーム &gt; ミニカー &gt; 自動車 &gt; 京商</t>
  </si>
  <si>
    <t>Jada Toys</t>
  </si>
  <si>
    <t>オークション &gt; おもちゃ、ゲーム &gt; ミニカー &gt; 自動車 &gt; Jada Toys</t>
  </si>
  <si>
    <t>サンスター</t>
  </si>
  <si>
    <t>オークション &gt; おもちゃ、ゲーム &gt; ミニカー &gt; 自動車 &gt; サンスター</t>
  </si>
  <si>
    <t>シュコー</t>
  </si>
  <si>
    <t>オークション &gt; おもちゃ、ゲーム &gt; ミニカー &gt; 自動車 &gt; シュコー</t>
  </si>
  <si>
    <t>ジョニーライトニング</t>
  </si>
  <si>
    <t>オークション &gt; おもちゃ、ゲーム &gt; ミニカー &gt; 自動車 &gt; ジョニーライトニング</t>
  </si>
  <si>
    <t>スパークモデル</t>
  </si>
  <si>
    <t>オークション &gt; おもちゃ、ゲーム &gt; ミニカー &gt; 自動車 &gt; スパークモデル</t>
  </si>
  <si>
    <t>ソリド</t>
  </si>
  <si>
    <t>オークション &gt; おもちゃ、ゲーム &gt; ミニカー &gt; 自動車 &gt; ソリド</t>
  </si>
  <si>
    <t>ダイヤペット</t>
  </si>
  <si>
    <t>オークション &gt; おもちゃ、ゲーム &gt; ミニカー &gt; 自動車 &gt; ダイヤペット</t>
  </si>
  <si>
    <t>チョロQ</t>
  </si>
  <si>
    <t>オークション &gt; おもちゃ、ゲーム &gt; ミニカー &gt; 自動車 &gt; チョロQ</t>
  </si>
  <si>
    <t>ディンキー</t>
  </si>
  <si>
    <t>オークション &gt; おもちゃ、ゲーム &gt; ミニカー &gt; 自動車 &gt; ディンキー</t>
  </si>
  <si>
    <t>トミカ</t>
  </si>
  <si>
    <t>オークション &gt; おもちゃ、ゲーム &gt; ミニカー &gt; 自動車 &gt; トミカ</t>
  </si>
  <si>
    <t>トロフュー</t>
  </si>
  <si>
    <t>オークション &gt; おもちゃ、ゲーム &gt; ミニカー &gt; 自動車 &gt; トロフュー</t>
  </si>
  <si>
    <t>田宮模型</t>
  </si>
  <si>
    <t>オークション &gt; おもちゃ、ゲーム &gt; ミニカー &gt; 自動車 &gt; 田宮模型</t>
  </si>
  <si>
    <t>ノレブ</t>
  </si>
  <si>
    <t>オークション &gt; おもちゃ、ゲーム &gt; ミニカー &gt; 自動車 &gt; ノレブ</t>
  </si>
  <si>
    <t>BBR</t>
  </si>
  <si>
    <t>オークション &gt; おもちゃ、ゲーム &gt; ミニカー &gt; 自動車 &gt; BBR</t>
  </si>
  <si>
    <t>ビテス</t>
  </si>
  <si>
    <t>オークション &gt; おもちゃ、ゲーム &gt; ミニカー &gt; 自動車 &gt; ビテス</t>
  </si>
  <si>
    <t>フランクリン・ミント</t>
  </si>
  <si>
    <t>オークション &gt; おもちゃ、ゲーム &gt; ミニカー &gt; 自動車 &gt; フランクリン・ミント</t>
  </si>
  <si>
    <t>ブラーゴ</t>
  </si>
  <si>
    <t>オークション &gt; おもちゃ、ゲーム &gt; ミニカー &gt; 自動車 &gt; ブラーゴ</t>
  </si>
  <si>
    <t>ブルム</t>
  </si>
  <si>
    <t>オークション &gt; おもちゃ、ゲーム &gt; ミニカー &gt; 自動車 &gt; ブルム</t>
  </si>
  <si>
    <t>ヘルパ</t>
  </si>
  <si>
    <t>オークション &gt; おもちゃ、ゲーム &gt; ミニカー &gt; 自動車 &gt; ヘルパ</t>
  </si>
  <si>
    <t>ベストモデル</t>
  </si>
  <si>
    <t>オークション &gt; おもちゃ、ゲーム &gt; ミニカー &gt; 自動車 &gt; ベストモデル</t>
  </si>
  <si>
    <t>ホットウィール</t>
  </si>
  <si>
    <t>オークション &gt; おもちゃ、ゲーム &gt; ミニカー &gt; 自動車 &gt; ホットウィール</t>
  </si>
  <si>
    <t>マイスト</t>
  </si>
  <si>
    <t>オークション &gt; おもちゃ、ゲーム &gt; ミニカー &gt; 自動車 &gt; マイスト</t>
  </si>
  <si>
    <t>マジョレット</t>
  </si>
  <si>
    <t>オークション &gt; おもちゃ、ゲーム &gt; ミニカー &gt; 自動車 &gt; マジョレット</t>
  </si>
  <si>
    <t>マッチボックス</t>
  </si>
  <si>
    <t>オークション &gt; おもちゃ、ゲーム &gt; ミニカー &gt; 自動車 &gt; マッチボックス</t>
  </si>
  <si>
    <t>ミニチャンプス</t>
  </si>
  <si>
    <t>オークション &gt; おもちゃ、ゲーム &gt; ミニカー &gt; 自動車 &gt; ミニチャンプス</t>
  </si>
  <si>
    <t>リアル-X</t>
  </si>
  <si>
    <t>オークション &gt; おもちゃ、ゲーム &gt; ミニカー &gt; 自動車 &gt; リアル-X</t>
  </si>
  <si>
    <t>レーシングチャンピオン</t>
  </si>
  <si>
    <t>オークション &gt; おもちゃ、ゲーム &gt; ミニカー &gt; 自動車 &gt; レーシングチャンピオン</t>
  </si>
  <si>
    <t>レベル</t>
  </si>
  <si>
    <t>オークション &gt; おもちゃ、ゲーム &gt; ミニカー &gt; 自動車 &gt; レベル</t>
  </si>
  <si>
    <t>ホンウェル</t>
  </si>
  <si>
    <t>オークション &gt; おもちゃ、ゲーム &gt; ミニカー &gt; 自動車 &gt; ホンウェル</t>
  </si>
  <si>
    <t>オークション &gt; おもちゃ、ゲーム &gt; ミニカー &gt; 自動車 &gt; その他</t>
  </si>
  <si>
    <t>オークション &gt; おもちゃ、ゲーム &gt; ミニカー &gt; 航空機 &gt; 軍用機</t>
  </si>
  <si>
    <t>民間航空機</t>
  </si>
  <si>
    <t>オークション &gt; おもちゃ、ゲーム &gt; ミニカー &gt; 航空機 &gt; 民間航空機</t>
  </si>
  <si>
    <t>機関車</t>
  </si>
  <si>
    <t>オークション &gt; おもちゃ、ゲーム &gt; 鉄道模型 &gt; HOゲージ &gt; 機関車</t>
  </si>
  <si>
    <t>貨物列車</t>
  </si>
  <si>
    <t>オークション &gt; おもちゃ、ゲーム &gt; 鉄道模型 &gt; HOゲージ &gt; 貨物列車</t>
  </si>
  <si>
    <t>JR、国鉄車輌</t>
  </si>
  <si>
    <t>オークション &gt; おもちゃ、ゲーム &gt; 鉄道模型 &gt; HOゲージ &gt; JR、国鉄車輌</t>
  </si>
  <si>
    <t>外国車輌</t>
  </si>
  <si>
    <t>オークション &gt; おもちゃ、ゲーム &gt; 鉄道模型 &gt; HOゲージ &gt; 外国車輌</t>
  </si>
  <si>
    <t>私鉄電車</t>
  </si>
  <si>
    <t>オークション &gt; おもちゃ、ゲーム &gt; 鉄道模型 &gt; HOゲージ &gt; 私鉄電車</t>
  </si>
  <si>
    <t>路面電車</t>
  </si>
  <si>
    <t>オークション &gt; おもちゃ、ゲーム &gt; 鉄道模型 &gt; HOゲージ &gt; 路面電車</t>
  </si>
  <si>
    <t>車輌パーツ</t>
  </si>
  <si>
    <t>オークション &gt; おもちゃ、ゲーム &gt; 鉄道模型 &gt; HOゲージ &gt; 車輌パーツ</t>
  </si>
  <si>
    <t>ストラクチャー</t>
  </si>
  <si>
    <t>オークション &gt; おもちゃ、ゲーム &gt; 鉄道模型 &gt; HOゲージ &gt; ストラクチャー</t>
  </si>
  <si>
    <t>パワーパック</t>
  </si>
  <si>
    <t>オークション &gt; おもちゃ、ゲーム &gt; 鉄道模型 &gt; HOゲージ &gt; パワーパック</t>
  </si>
  <si>
    <t>線路</t>
  </si>
  <si>
    <t>オークション &gt; おもちゃ、ゲーム &gt; 鉄道模型 &gt; HOゲージ &gt; 線路</t>
  </si>
  <si>
    <t>オークション &gt; おもちゃ、ゲーム &gt; 鉄道模型 &gt; HOゲージ &gt; その他</t>
  </si>
  <si>
    <t>ディーゼル機関車</t>
  </si>
  <si>
    <t>オークション &gt; おもちゃ、ゲーム &gt; 鉄道模型 &gt; Nゲージ &gt; ディーゼル機関車</t>
  </si>
  <si>
    <t>蒸気機関車</t>
  </si>
  <si>
    <t>オークション &gt; おもちゃ、ゲーム &gt; 鉄道模型 &gt; Nゲージ &gt; 蒸気機関車</t>
  </si>
  <si>
    <t>電気機関車</t>
  </si>
  <si>
    <t>オークション &gt; おもちゃ、ゲーム &gt; 鉄道模型 &gt; Nゲージ &gt; 電気機関車</t>
  </si>
  <si>
    <t>オークション &gt; おもちゃ、ゲーム &gt; 鉄道模型 &gt; Nゲージ &gt; JR、国鉄車輌</t>
  </si>
  <si>
    <t>オークション &gt; おもちゃ、ゲーム &gt; 鉄道模型 &gt; Nゲージ &gt; 貨物列車</t>
  </si>
  <si>
    <t>オークション &gt; おもちゃ、ゲーム &gt; 鉄道模型 &gt; Nゲージ &gt; 外国車輌</t>
  </si>
  <si>
    <t>私鉄車輌</t>
  </si>
  <si>
    <t>オークション &gt; おもちゃ、ゲーム &gt; 鉄道模型 &gt; Nゲージ &gt; 私鉄車輌</t>
  </si>
  <si>
    <t>オークション &gt; おもちゃ、ゲーム &gt; 鉄道模型 &gt; Nゲージ &gt; 路面電車</t>
  </si>
  <si>
    <t>オークション &gt; おもちゃ、ゲーム &gt; 鉄道模型 &gt; Nゲージ &gt; 車輌パーツ</t>
  </si>
  <si>
    <t>オークション &gt; おもちゃ、ゲーム &gt; 鉄道模型 &gt; Nゲージ &gt; ストラクチャー</t>
  </si>
  <si>
    <t>オークション &gt; おもちゃ、ゲーム &gt; 鉄道模型 &gt; Nゲージ &gt; パワーパック</t>
  </si>
  <si>
    <t>オークション &gt; おもちゃ、ゲーム &gt; 鉄道模型 &gt; Nゲージ &gt; 線路</t>
  </si>
  <si>
    <t>オークション &gt; おもちゃ、ゲーム &gt; 鉄道模型 &gt; Nゲージ &gt; その他</t>
  </si>
  <si>
    <t>ロボット</t>
  </si>
  <si>
    <t>オークション &gt; おもちゃ、ゲーム &gt; ビンテージ &gt; ブリキ &gt; ロボット</t>
  </si>
  <si>
    <t>人間</t>
  </si>
  <si>
    <t>オークション &gt; おもちゃ、ゲーム &gt; ビンテージ &gt; ブリキ &gt; 人間</t>
  </si>
  <si>
    <t>動物</t>
  </si>
  <si>
    <t>オークション &gt; おもちゃ、ゲーム &gt; ビンテージ &gt; ブリキ &gt; 動物</t>
  </si>
  <si>
    <t>オークション &gt; おもちゃ、ゲーム &gt; ビンテージ &gt; ブリキ &gt; 乗り物</t>
  </si>
  <si>
    <t>オークション &gt; おもちゃ、ゲーム &gt; ビンテージ &gt; ブリキ &gt; その他</t>
  </si>
  <si>
    <t>オークション &gt; おもちゃ、ゲーム &gt; 人形、キャラクタードール &gt; スーパードルフィー &gt; 本体</t>
  </si>
  <si>
    <t>服、靴</t>
  </si>
  <si>
    <t>オークション &gt; おもちゃ、ゲーム &gt; 人形、キャラクタードール &gt; スーパードルフィー &gt; 服、靴</t>
  </si>
  <si>
    <t>オークション &gt; おもちゃ、ゲーム &gt; 人形、キャラクタードール &gt; スーパードルフィー &gt; パーツ</t>
  </si>
  <si>
    <t>アクセサリー</t>
  </si>
  <si>
    <t>オークション &gt; おもちゃ、ゲーム &gt; 人形、キャラクタードール &gt; スーパードルフィー &gt; アクセサリー</t>
  </si>
  <si>
    <t>オークション &gt; おもちゃ、ゲーム &gt; 人形、キャラクタードール &gt; スーパードルフィー &gt; その他</t>
  </si>
  <si>
    <t>オークション &gt; おもちゃ、ゲーム &gt; 人形、キャラクタードール &gt; ドルフィードリーム &gt; 本体</t>
  </si>
  <si>
    <t>オークション &gt; おもちゃ、ゲーム &gt; 人形、キャラクタードール &gt; ドルフィードリーム &gt; パーツ</t>
  </si>
  <si>
    <t>オークション &gt; おもちゃ、ゲーム &gt; 人形、キャラクタードール &gt; ドルフィードリーム &gt; その他</t>
  </si>
  <si>
    <t>オークション &gt; おもちゃ、ゲーム &gt; 人形、キャラクタードール &gt; カスタムドール &gt; 本体</t>
  </si>
  <si>
    <t>オークション &gt; おもちゃ、ゲーム &gt; 人形、キャラクタードール &gt; カスタムドール &gt; パーツ</t>
  </si>
  <si>
    <t>オークション &gt; おもちゃ、ゲーム &gt; 人形、キャラクタードール &gt; カスタムドール &gt; その他</t>
  </si>
  <si>
    <t>バービー</t>
  </si>
  <si>
    <t>オークション &gt; おもちゃ、ゲーム &gt; 人形、キャラクタードール &gt; 着せかえ人形 &gt; バービー</t>
  </si>
  <si>
    <t>ジェニー</t>
  </si>
  <si>
    <t>オークション &gt; おもちゃ、ゲーム &gt; 人形、キャラクタードール &gt; 着せかえ人形 &gt; ジェニー</t>
  </si>
  <si>
    <t>リカちゃん</t>
  </si>
  <si>
    <t>オークション &gt; おもちゃ、ゲーム &gt; 人形、キャラクタードール &gt; 着せかえ人形 &gt; リカちゃん</t>
  </si>
  <si>
    <t>momoko</t>
  </si>
  <si>
    <t>オークション &gt; おもちゃ、ゲーム &gt; 人形、キャラクタードール &gt; 着せかえ人形 &gt; momoko</t>
  </si>
  <si>
    <t>コンパクトドール</t>
  </si>
  <si>
    <t>オークション &gt; おもちゃ、ゲーム &gt; 人形、キャラクタードール &gt; 着せかえ人形 &gt; コンパクトドール</t>
  </si>
  <si>
    <t>オークション &gt; おもちゃ、ゲーム &gt; 人形、キャラクタードール &gt; 着せかえ人形 &gt; ブライス</t>
  </si>
  <si>
    <t>オークション &gt; おもちゃ、ゲーム &gt; 人形、キャラクタードール &gt; 着せかえ人形 &gt; その他</t>
  </si>
  <si>
    <t>こけし</t>
  </si>
  <si>
    <t>オークション &gt; おもちゃ、ゲーム &gt; 人形、キャラクタードール &gt; 日本人形 &gt; こけし</t>
  </si>
  <si>
    <t>ひな人形</t>
  </si>
  <si>
    <t>オークション &gt; おもちゃ、ゲーム &gt; 人形、キャラクタードール &gt; 日本人形 &gt; ひな人形</t>
  </si>
  <si>
    <t>五月人形</t>
  </si>
  <si>
    <t>オークション &gt; おもちゃ、ゲーム &gt; 人形、キャラクタードール &gt; 日本人形 &gt; 五月人形</t>
  </si>
  <si>
    <t>御所人形</t>
  </si>
  <si>
    <t>オークション &gt; おもちゃ、ゲーム &gt; 人形、キャラクタードール &gt; 日本人形 &gt; 御所人形</t>
  </si>
  <si>
    <t>市松人形</t>
  </si>
  <si>
    <t>オークション &gt; おもちゃ、ゲーム &gt; 人形、キャラクタードール &gt; 日本人形 &gt; 市松人形</t>
  </si>
  <si>
    <t>木目込人形</t>
  </si>
  <si>
    <t>オークション &gt; おもちゃ、ゲーム &gt; 人形、キャラクタードール &gt; 日本人形 &gt; 木目込人形</t>
  </si>
  <si>
    <t>オークション &gt; おもちゃ、ゲーム &gt; 人形、キャラクタードール &gt; 日本人形 &gt; その他</t>
  </si>
  <si>
    <t>キャラクター</t>
  </si>
  <si>
    <t>オークション &gt; おもちゃ、ゲーム &gt; ぬいぐるみ &gt; キャラクター</t>
  </si>
  <si>
    <t>オークション &gt; おもちゃ、ゲーム &gt; ぬいぐるみ &gt; 動物</t>
  </si>
  <si>
    <t>テディベア</t>
  </si>
  <si>
    <t>オークション &gt; おもちゃ、ゲーム &gt; ぬいぐるみ &gt; テディベア</t>
  </si>
  <si>
    <t>あみぐるみ</t>
  </si>
  <si>
    <t>オークション &gt; おもちゃ、ゲーム &gt; ぬいぐるみ &gt; あみぐるみ</t>
  </si>
  <si>
    <t>羊毛フェルト</t>
  </si>
  <si>
    <t>オークション &gt; おもちゃ、ゲーム &gt; ぬいぐるみ &gt; 羊毛フェルト</t>
  </si>
  <si>
    <t>Ty ビーニーズ</t>
  </si>
  <si>
    <t>オークション &gt; おもちゃ、ゲーム &gt; ぬいぐるみ &gt; Ty ビーニーズ</t>
  </si>
  <si>
    <t>コミック、アニメ</t>
  </si>
  <si>
    <t>オークション &gt; おもちゃ、ゲーム &gt; フィギュア &gt; コミック、アニメ</t>
  </si>
  <si>
    <t>オークション &gt; おもちゃ、ゲーム &gt; フィギュア &gt; 特撮</t>
  </si>
  <si>
    <t>ゲームキャラクター</t>
  </si>
  <si>
    <t>オークション &gt; おもちゃ、ゲーム &gt; フィギュア &gt; ゲームキャラクター</t>
  </si>
  <si>
    <t>SF、ファンタジー、ホラー</t>
  </si>
  <si>
    <t>オークション &gt; おもちゃ、ゲーム &gt; フィギュア &gt; SF、ファンタジー、ホラー</t>
  </si>
  <si>
    <t>アメコミ</t>
  </si>
  <si>
    <t>オークション &gt; おもちゃ、ゲーム &gt; フィギュア &gt; アメコミ</t>
  </si>
  <si>
    <t>オークション &gt; おもちゃ、ゲーム &gt; フィギュア &gt; スポーツ</t>
  </si>
  <si>
    <t>ミリタリー</t>
  </si>
  <si>
    <t>オークション &gt; おもちゃ、ゲーム &gt; フィギュア &gt; ミリタリー</t>
  </si>
  <si>
    <t>生き物</t>
  </si>
  <si>
    <t>オークション &gt; おもちゃ、ゲーム &gt; フィギュア &gt; 生き物</t>
  </si>
  <si>
    <t>芸能人、タレント</t>
  </si>
  <si>
    <t>オークション &gt; おもちゃ、ゲーム &gt; フィギュア &gt; 芸能人、タレント</t>
  </si>
  <si>
    <t>時代劇</t>
  </si>
  <si>
    <t>オークション &gt; おもちゃ、ゲーム &gt; フィギュア &gt; 時代劇</t>
  </si>
  <si>
    <t>創作、オリジナル</t>
  </si>
  <si>
    <t>オークション &gt; おもちゃ、ゲーム &gt; フィギュア &gt; 創作、オリジナル</t>
  </si>
  <si>
    <t>キャラクタードール</t>
  </si>
  <si>
    <t>オークション &gt; おもちゃ、ゲーム &gt; フィギュア &gt; キャラクタードール</t>
  </si>
  <si>
    <t>オークション &gt; おもちゃ、ゲーム &gt; フィギュア &gt; その他</t>
  </si>
  <si>
    <t>あらいぐまラスカル</t>
  </si>
  <si>
    <t>オークション &gt; おもちゃ、ゲーム &gt; ぬいぐるみ &gt; キャラクター &gt; あらいぐまラスカル</t>
  </si>
  <si>
    <t>おさわり探偵なめこ栽培キット</t>
  </si>
  <si>
    <t>オークション &gt; おもちゃ、ゲーム &gt; ぬいぐるみ &gt; キャラクター &gt; おさわり探偵なめこ栽培キット</t>
  </si>
  <si>
    <t>おじゃる丸</t>
  </si>
  <si>
    <t>オークション &gt; おもちゃ、ゲーム &gt; ぬいぐるみ &gt; キャラクター &gt; おじゃる丸</t>
  </si>
  <si>
    <t>アフロ犬</t>
  </si>
  <si>
    <t>オークション &gt; おもちゃ、ゲーム &gt; ぬいぐるみ &gt; キャラクター &gt; アフロ犬</t>
  </si>
  <si>
    <t>オークション &gt; おもちゃ、ゲーム &gt; ぬいぐるみ &gt; キャラクター &gt; アンパンマン</t>
  </si>
  <si>
    <t>こげぱん</t>
  </si>
  <si>
    <t>オークション &gt; おもちゃ、ゲーム &gt; ぬいぐるみ &gt; キャラクター &gt; こげぱん</t>
  </si>
  <si>
    <t>カピバラさん</t>
  </si>
  <si>
    <t>オークション &gt; おもちゃ、ゲーム &gt; ぬいぐるみ &gt; キャラクター &gt; カピバラさん</t>
  </si>
  <si>
    <t>ガチャピン、ムック</t>
  </si>
  <si>
    <t>オークション &gt; おもちゃ、ゲーム &gt; ぬいぐるみ &gt; キャラクター &gt; ガチャピン、ムック</t>
  </si>
  <si>
    <t>キョロちゃん</t>
  </si>
  <si>
    <t>オークション &gt; おもちゃ、ゲーム &gt; ぬいぐるみ &gt; キャラクター &gt; キョロちゃん</t>
  </si>
  <si>
    <t>グレイトフル・デッドベア</t>
  </si>
  <si>
    <t>オークション &gt; おもちゃ、ゲーム &gt; ぬいぐるみ &gt; キャラクター &gt; グレイトフル・デッドベア</t>
  </si>
  <si>
    <t>オークション &gt; おもちゃ、ゲーム &gt; ぬいぐるみ &gt; キャラクター &gt; ケンケン</t>
  </si>
  <si>
    <t>サンリオ</t>
  </si>
  <si>
    <t>オークション &gt; おもちゃ、ゲーム &gt; ぬいぐるみ &gt; キャラクター &gt; サンリオ</t>
  </si>
  <si>
    <t>オークション &gt; おもちゃ、ゲーム &gt; ぬいぐるみ &gt; キャラクター &gt; セサミストリート</t>
  </si>
  <si>
    <t>たれぱんだ</t>
  </si>
  <si>
    <t>オークション &gt; おもちゃ、ゲーム &gt; ぬいぐるみ &gt; キャラクター &gt; たれぱんだ</t>
  </si>
  <si>
    <t>オークション &gt; おもちゃ、ゲーム &gt; ぬいぐるみ &gt; キャラクター &gt; となりのトトロ</t>
  </si>
  <si>
    <t>オークション &gt; おもちゃ、ゲーム &gt; ぬいぐるみ &gt; キャラクター &gt; どこでもいっしょ</t>
  </si>
  <si>
    <t>オークション &gt; おもちゃ、ゲーム &gt; ぬいぐるみ &gt; キャラクター &gt; テレタビーズ</t>
  </si>
  <si>
    <t>オークション &gt; おもちゃ、ゲーム &gt; ぬいぐるみ &gt; キャラクター &gt; ディズニー</t>
  </si>
  <si>
    <t>トム＆ジェリー</t>
  </si>
  <si>
    <t>オークション &gt; おもちゃ、ゲーム &gt; ぬいぐるみ &gt; キャラクター &gt; トム＆ジェリー</t>
  </si>
  <si>
    <t>オークション &gt; おもちゃ、ゲーム &gt; ぬいぐるみ &gt; キャラクター &gt; ドラえもん</t>
  </si>
  <si>
    <t>オークション &gt; おもちゃ、ゲーム &gt; ぬいぐるみ &gt; キャラクター &gt; 夏目友人帳</t>
  </si>
  <si>
    <t>PostPet</t>
  </si>
  <si>
    <t>オークション &gt; おもちゃ、ゲーム &gt; ぬいぐるみ &gt; キャラクター &gt; PostPet</t>
  </si>
  <si>
    <t>オークション &gt; おもちゃ、ゲーム &gt; ぬいぐるみ &gt; キャラクター &gt; ひとまねこざる</t>
  </si>
  <si>
    <t>オークション &gt; おもちゃ、ゲーム &gt; ぬいぐるみ &gt; キャラクター &gt; バーバパパ</t>
  </si>
  <si>
    <t>バックスバニー</t>
  </si>
  <si>
    <t>オークション &gt; おもちゃ、ゲーム &gt; ぬいぐるみ &gt; キャラクター &gt; バックスバニー</t>
  </si>
  <si>
    <t>オークション &gt; おもちゃ、ゲーム &gt; ぬいぐるみ &gt; キャラクター &gt; ピーターラビット</t>
  </si>
  <si>
    <t>オークション &gt; おもちゃ、ゲーム &gt; ぬいぐるみ &gt; キャラクター &gt; ピーナッツ、スヌーピー</t>
  </si>
  <si>
    <t>オークション &gt; おもちゃ、ゲーム &gt; ぬいぐるみ &gt; キャラクター &gt; ピンクパンサー</t>
  </si>
  <si>
    <t>オークション &gt; おもちゃ、ゲーム &gt; ぬいぐるみ &gt; キャラクター &gt; ピングー</t>
  </si>
  <si>
    <t>ファービー</t>
  </si>
  <si>
    <t>オークション &gt; おもちゃ、ゲーム &gt; ぬいぐるみ &gt; キャラクター &gt; ファービー</t>
  </si>
  <si>
    <t>オークション &gt; おもちゃ、ゲーム &gt; ぬいぐるみ &gt; キャラクター &gt; ファーファ</t>
  </si>
  <si>
    <t>プリモプエル</t>
  </si>
  <si>
    <t>オークション &gt; おもちゃ、ゲーム &gt; ぬいぐるみ &gt; キャラクター &gt; プリモプエル</t>
  </si>
  <si>
    <t>ペコちゃん</t>
  </si>
  <si>
    <t>オークション &gt; おもちゃ、ゲーム &gt; ぬいぐるみ &gt; キャラクター &gt; ペコちゃん</t>
  </si>
  <si>
    <t>オークション &gt; おもちゃ、ゲーム &gt; ぬいぐるみ &gt; キャラクター &gt; ポケットモンスター</t>
  </si>
  <si>
    <t>チキンラーメンのひよこ</t>
  </si>
  <si>
    <t>オークション &gt; おもちゃ、ゲーム &gt; ぬいぐるみ &gt; キャラクター &gt; チキンラーメンのひよこ</t>
  </si>
  <si>
    <t>オークション &gt; おもちゃ、ゲーム &gt; ぬいぐるみ &gt; キャラクター &gt; ミッフィー</t>
  </si>
  <si>
    <t>オークション &gt; おもちゃ、ゲーム &gt; ぬいぐるみ &gt; キャラクター &gt; ムーミン</t>
  </si>
  <si>
    <t>リラックマ</t>
  </si>
  <si>
    <t>オークション &gt; おもちゃ、ゲーム &gt; ぬいぐるみ &gt; キャラクター &gt; リラックマ</t>
  </si>
  <si>
    <t>オークション &gt; おもちゃ、ゲーム &gt; ぬいぐるみ &gt; キャラクター &gt; その他</t>
  </si>
  <si>
    <t>アルパカ</t>
  </si>
  <si>
    <t>オークション &gt; おもちゃ、ゲーム &gt; ぬいぐるみ &gt; 動物 &gt; アルパカ</t>
  </si>
  <si>
    <t>イヌ</t>
  </si>
  <si>
    <t>オークション &gt; おもちゃ、ゲーム &gt; ぬいぐるみ &gt; 動物 &gt; イヌ</t>
  </si>
  <si>
    <t>ウサギ</t>
  </si>
  <si>
    <t>オークション &gt; おもちゃ、ゲーム &gt; ぬいぐるみ &gt; 動物 &gt; ウサギ</t>
  </si>
  <si>
    <t>ウシ</t>
  </si>
  <si>
    <t>オークション &gt; おもちゃ、ゲーム &gt; ぬいぐるみ &gt; 動物 &gt; ウシ</t>
  </si>
  <si>
    <t>ウマ</t>
  </si>
  <si>
    <t>オークション &gt; おもちゃ、ゲーム &gt; ぬいぐるみ &gt; 動物 &gt; ウマ</t>
  </si>
  <si>
    <t>カエル</t>
  </si>
  <si>
    <t>オークション &gt; おもちゃ、ゲーム &gt; ぬいぐるみ &gt; 動物 &gt; カエル</t>
  </si>
  <si>
    <t>キリン</t>
  </si>
  <si>
    <t>オークション &gt; おもちゃ、ゲーム &gt; ぬいぐるみ &gt; 動物 &gt; キリン</t>
  </si>
  <si>
    <t>クマ</t>
  </si>
  <si>
    <t>オークション &gt; おもちゃ、ゲーム &gt; ぬいぐるみ &gt; 動物 &gt; クマ</t>
  </si>
  <si>
    <t>コアラ</t>
  </si>
  <si>
    <t>オークション &gt; おもちゃ、ゲーム &gt; ぬいぐるみ &gt; 動物 &gt; コアラ</t>
  </si>
  <si>
    <t>サル</t>
  </si>
  <si>
    <t>オークション &gt; おもちゃ、ゲーム &gt; ぬいぐるみ &gt; 動物 &gt; サル</t>
  </si>
  <si>
    <t>ゾウ</t>
  </si>
  <si>
    <t>オークション &gt; おもちゃ、ゲーム &gt; ぬいぐるみ &gt; 動物 &gt; ゾウ</t>
  </si>
  <si>
    <t>トラ</t>
  </si>
  <si>
    <t>オークション &gt; おもちゃ、ゲーム &gt; ぬいぐるみ &gt; 動物 &gt; トラ</t>
  </si>
  <si>
    <t>ネコ</t>
  </si>
  <si>
    <t>オークション &gt; おもちゃ、ゲーム &gt; ぬいぐるみ &gt; 動物 &gt; ネコ</t>
  </si>
  <si>
    <t>ネズミ</t>
  </si>
  <si>
    <t>オークション &gt; おもちゃ、ゲーム &gt; ぬいぐるみ &gt; 動物 &gt; ネズミ</t>
  </si>
  <si>
    <t>ひよこ、小鳥</t>
  </si>
  <si>
    <t>オークション &gt; おもちゃ、ゲーム &gt; ぬいぐるみ &gt; 動物 &gt; ひよこ、小鳥</t>
  </si>
  <si>
    <t>パンダ</t>
  </si>
  <si>
    <t>オークション &gt; おもちゃ、ゲーム &gt; ぬいぐるみ &gt; 動物 &gt; パンダ</t>
  </si>
  <si>
    <t>ヒツジ</t>
  </si>
  <si>
    <t>オークション &gt; おもちゃ、ゲーム &gt; ぬいぐるみ &gt; 動物 &gt; ヒツジ</t>
  </si>
  <si>
    <t>ブタ</t>
  </si>
  <si>
    <t>オークション &gt; おもちゃ、ゲーム &gt; ぬいぐるみ &gt; 動物 &gt; ブタ</t>
  </si>
  <si>
    <t>ペンギン</t>
  </si>
  <si>
    <t>オークション &gt; おもちゃ、ゲーム &gt; ぬいぐるみ &gt; 動物 &gt; ペンギン</t>
  </si>
  <si>
    <t>ライオン</t>
  </si>
  <si>
    <t>オークション &gt; おもちゃ、ゲーム &gt; ぬいぐるみ &gt; 動物 &gt; ライオン</t>
  </si>
  <si>
    <t>リス</t>
  </si>
  <si>
    <t>オークション &gt; おもちゃ、ゲーム &gt; ぬいぐるみ &gt; 動物 &gt; リス</t>
  </si>
  <si>
    <t>オークション &gt; おもちゃ、ゲーム &gt; ぬいぐるみ &gt; 動物 &gt; その他</t>
  </si>
  <si>
    <t>コスプレ衣装</t>
  </si>
  <si>
    <t>オークション &gt; コミック、アニメグッズ &gt; コスプレ衣装</t>
  </si>
  <si>
    <t>作品別</t>
  </si>
  <si>
    <t>オークション &gt; コミック、アニメグッズ &gt; 作品別</t>
  </si>
  <si>
    <t>サイン、直筆画</t>
  </si>
  <si>
    <t>オークション &gt; コミック、アニメグッズ &gt; サイン、直筆画</t>
  </si>
  <si>
    <t>手描きイラスト</t>
  </si>
  <si>
    <t>オークション &gt; コミック、アニメグッズ &gt; 手描きイラスト</t>
  </si>
  <si>
    <t>クリアファイル</t>
  </si>
  <si>
    <t>オークション &gt; コミック、アニメグッズ &gt; クリアファイル</t>
  </si>
  <si>
    <t>バッジ</t>
  </si>
  <si>
    <t>オークション &gt; コミック、アニメグッズ &gt; バッジ</t>
  </si>
  <si>
    <t>タペストリー</t>
  </si>
  <si>
    <t>オークション &gt; コミック、アニメグッズ &gt; タペストリー</t>
  </si>
  <si>
    <t>タオル</t>
  </si>
  <si>
    <t>オークション &gt; コミック、アニメグッズ &gt; タオル</t>
  </si>
  <si>
    <t>ステッカー</t>
  </si>
  <si>
    <t>オークション &gt; コミック、アニメグッズ &gt; ステッカー</t>
  </si>
  <si>
    <t>キーホルダー</t>
  </si>
  <si>
    <t>オークション &gt; コミック、アニメグッズ &gt; キーホルダー</t>
  </si>
  <si>
    <t>セル画</t>
  </si>
  <si>
    <t>オークション &gt; コミック、アニメグッズ &gt; セル画</t>
  </si>
  <si>
    <t>抱き枕</t>
  </si>
  <si>
    <t>オークション &gt; コミック、アニメグッズ &gt; 抱き枕</t>
  </si>
  <si>
    <t>フィギュア</t>
  </si>
  <si>
    <t>オークション &gt; コミック、アニメグッズ &gt; フィギュア</t>
  </si>
  <si>
    <t>プラモデル</t>
  </si>
  <si>
    <t>オークション &gt; コミック、アニメグッズ &gt; プラモデル</t>
  </si>
  <si>
    <t>コミック本</t>
  </si>
  <si>
    <t>オークション &gt; コミック、アニメグッズ &gt; コミック本</t>
  </si>
  <si>
    <t>DVD</t>
  </si>
  <si>
    <t>オークション &gt; コミック、アニメグッズ &gt; DVD</t>
  </si>
  <si>
    <t>ビデオ</t>
  </si>
  <si>
    <t>オークション &gt; コミック、アニメグッズ &gt; ビデオ</t>
  </si>
  <si>
    <t>レーザーディスク</t>
  </si>
  <si>
    <t>オークション &gt; コミック、アニメグッズ &gt; レーザーディスク</t>
  </si>
  <si>
    <t>VCD</t>
  </si>
  <si>
    <t>オークション &gt; コミック、アニメグッズ &gt; VCD</t>
  </si>
  <si>
    <t>音楽CD</t>
  </si>
  <si>
    <t>オークション &gt; コミック、アニメグッズ &gt; 音楽CD</t>
  </si>
  <si>
    <t>レコード</t>
  </si>
  <si>
    <t>オークション &gt; コミック、アニメグッズ &gt; レコード</t>
  </si>
  <si>
    <t>カセットテープ</t>
  </si>
  <si>
    <t>オークション &gt; コミック、アニメグッズ &gt; カセットテープ</t>
  </si>
  <si>
    <t>カレンダー</t>
  </si>
  <si>
    <t>オークション &gt; コミック、アニメグッズ &gt; カレンダー</t>
  </si>
  <si>
    <t>トレーディングカード</t>
  </si>
  <si>
    <t>オークション &gt; コミック、アニメグッズ &gt; トレーディングカード</t>
  </si>
  <si>
    <t>クオカード</t>
  </si>
  <si>
    <t>オークション &gt; コミック、アニメグッズ &gt; クオカード</t>
  </si>
  <si>
    <t>テレホンカード</t>
  </si>
  <si>
    <t>オークション &gt; コミック、アニメグッズ &gt; テレホンカード</t>
  </si>
  <si>
    <t>オークション &gt; コミック、アニメグッズ &gt; ポスター</t>
  </si>
  <si>
    <t>切り抜き</t>
  </si>
  <si>
    <t>オークション &gt; コミック、アニメグッズ &gt; 切り抜き</t>
  </si>
  <si>
    <t>イラスト、アート制作</t>
  </si>
  <si>
    <t>オークション &gt; コミック、アニメグッズ &gt; イラスト、アート制作</t>
  </si>
  <si>
    <t>制作（ナレーション、声優）</t>
  </si>
  <si>
    <t>オークション &gt; コミック、アニメグッズ &gt; 制作（ナレーション、声優）</t>
  </si>
  <si>
    <t>オークション &gt; コミック、アニメグッズ &gt; その他</t>
  </si>
  <si>
    <t>オークション &gt; おもちゃ、ゲーム &gt; キャラクター玩具 &gt; きかんしゃトーマス &gt; テレホンカード</t>
  </si>
  <si>
    <t>携帯ストラップ</t>
  </si>
  <si>
    <t>オークション &gt; おもちゃ、ゲーム &gt; キャラクター玩具 &gt; きかんしゃトーマス &gt; 携帯ストラップ</t>
  </si>
  <si>
    <t>オークション &gt; おもちゃ、ゲーム &gt; キャラクター玩具 &gt; きかんしゃトーマス &gt; その他</t>
  </si>
  <si>
    <t>ぬいぐるみ</t>
  </si>
  <si>
    <t>オークション &gt; おもちゃ、ゲーム &gt; キャラクター玩具 &gt; たれぱんだ &gt; ぬいぐるみ</t>
  </si>
  <si>
    <t>オークション &gt; おもちゃ、ゲーム &gt; キャラクター玩具 &gt; たれぱんだ &gt; 携帯ストラップ</t>
  </si>
  <si>
    <t>オークション &gt; おもちゃ、ゲーム &gt; キャラクター玩具 &gt; たれぱんだ &gt; その他</t>
  </si>
  <si>
    <t>オークション &gt; おもちゃ、ゲーム &gt; キャラクター玩具 &gt; ウルトラマン &gt; トレーディングカード</t>
  </si>
  <si>
    <t>オークション &gt; おもちゃ、ゲーム &gt; キャラクター玩具 &gt; ウルトラマン &gt; フィギュア</t>
  </si>
  <si>
    <t>オークション &gt; おもちゃ、ゲーム &gt; キャラクター玩具 &gt; ウルトラマン &gt; その他</t>
  </si>
  <si>
    <t>オークション &gt; おもちゃ、ゲーム &gt; キャラクター玩具 &gt; キューピー &gt; テレホンカード</t>
  </si>
  <si>
    <t>オークション &gt; おもちゃ、ゲーム &gt; キャラクター玩具 &gt; キューピー &gt; 携帯ストラップ</t>
  </si>
  <si>
    <t>人形</t>
  </si>
  <si>
    <t>オークション &gt; おもちゃ、ゲーム &gt; キャラクター玩具 &gt; キューピー &gt; 人形</t>
  </si>
  <si>
    <t>オークション &gt; おもちゃ、ゲーム &gt; キャラクター玩具 &gt; キューピー &gt; その他</t>
  </si>
  <si>
    <t>オークション &gt; おもちゃ、ゲーム &gt; キャラクター玩具 &gt; シナモロール &gt; ぬいぐるみ</t>
  </si>
  <si>
    <t>オークション &gt; おもちゃ、ゲーム &gt; キャラクター玩具 &gt; シナモロール &gt; その他</t>
  </si>
  <si>
    <t>オークション &gt; おもちゃ、ゲーム &gt; キャラクター玩具 &gt; スヌーピー、ピーナッツ &gt; ぬいぐるみ</t>
  </si>
  <si>
    <t>オークション &gt; おもちゃ、ゲーム &gt; キャラクター玩具 &gt; スヌーピー、ピーナッツ &gt; キャラクタードール</t>
  </si>
  <si>
    <t>ファーストフードトイ</t>
  </si>
  <si>
    <t>オークション &gt; おもちゃ、ゲーム &gt; キャラクター玩具 &gt; スヌーピー、ピーナッツ &gt; ファーストフードトイ</t>
  </si>
  <si>
    <t>オークション &gt; おもちゃ、ゲーム &gt; キャラクター玩具 &gt; スヌーピー、ピーナッツ &gt; その他</t>
  </si>
  <si>
    <t>オークション &gt; おもちゃ、ゲーム &gt; キャラクター玩具 &gt; セサミストリート &gt; ぬいぐるみ</t>
  </si>
  <si>
    <t>オークション &gt; おもちゃ、ゲーム &gt; キャラクター玩具 &gt; セサミストリート &gt; キャラクタードール</t>
  </si>
  <si>
    <t>オークション &gt; おもちゃ、ゲーム &gt; キャラクター玩具 &gt; セサミストリート &gt; テレホンカード</t>
  </si>
  <si>
    <t>オークション &gt; おもちゃ、ゲーム &gt; キャラクター玩具 &gt; セサミストリート &gt; 携帯ストラップ</t>
  </si>
  <si>
    <t>オークション &gt; おもちゃ、ゲーム &gt; キャラクター玩具 &gt; セサミストリート &gt; その他</t>
  </si>
  <si>
    <t>オークション &gt; アンティーク、コレクション &gt; ディズニー &gt; ぬいぐるみ</t>
  </si>
  <si>
    <t>オークション &gt; アンティーク、コレクション &gt; ディズニー &gt; キャラクタードール</t>
  </si>
  <si>
    <t>オークション &gt; アンティーク、コレクション &gt; ディズニー &gt; ビデオ</t>
  </si>
  <si>
    <t>ピンバッジ</t>
  </si>
  <si>
    <t>オークション &gt; アンティーク、コレクション &gt; ディズニー &gt; ピンバッジ</t>
  </si>
  <si>
    <t>オークション &gt; アンティーク、コレクション &gt; ディズニー &gt; ファーストフードトイ</t>
  </si>
  <si>
    <t>オークション &gt; アンティーク、コレクション &gt; ディズニー &gt; その他</t>
  </si>
  <si>
    <t>オークション &gt; おもちゃ、ゲーム &gt; キャラクター玩具 &gt; ハローキティ &gt; テレホンカード</t>
  </si>
  <si>
    <t>オークション &gt; おもちゃ、ゲーム &gt; キャラクター玩具 &gt; ハローキティ &gt; ファーストフードトイ</t>
  </si>
  <si>
    <t>オークション &gt; おもちゃ、ゲーム &gt; キャラクター玩具 &gt; ハローキティ &gt; 携帯ストラップ</t>
  </si>
  <si>
    <t>腕時計</t>
  </si>
  <si>
    <t>オークション &gt; おもちゃ、ゲーム &gt; キャラクター玩具 &gt; ハローキティ &gt; 腕時計</t>
  </si>
  <si>
    <t>ハローキティグッズ一般</t>
  </si>
  <si>
    <t>オークション &gt; おもちゃ、ゲーム &gt; キャラクター玩具 &gt; ハローキティ &gt; ハローキティグッズ一般</t>
  </si>
  <si>
    <t>オークション &gt; おもちゃ、ゲーム &gt; キャラクター玩具 &gt; ペコちゃん &gt; ぬいぐるみ</t>
  </si>
  <si>
    <t>オークション &gt; おもちゃ、ゲーム &gt; キャラクター玩具 &gt; ペコちゃん &gt; テレホンカード</t>
  </si>
  <si>
    <t>オークション &gt; おもちゃ、ゲーム &gt; キャラクター玩具 &gt; ペコちゃん &gt; 携帯ストラップ</t>
  </si>
  <si>
    <t>オークション &gt; おもちゃ、ゲーム &gt; キャラクター玩具 &gt; ペコちゃん &gt; その他</t>
  </si>
  <si>
    <t>オークション &gt; おもちゃ、ゲーム &gt; キャラクター玩具 &gt; ミッフィー &gt; ぬいぐるみ</t>
  </si>
  <si>
    <t>オークション &gt; おもちゃ、ゲーム &gt; キャラクター玩具 &gt; ミッフィー &gt; キャラクタードール</t>
  </si>
  <si>
    <t>オークション &gt; おもちゃ、ゲーム &gt; キャラクター玩具 &gt; ミッフィー &gt; テレホンカード</t>
  </si>
  <si>
    <t>オークション &gt; おもちゃ、ゲーム &gt; キャラクター玩具 &gt; ミッフィー &gt; 携帯ストラップ</t>
  </si>
  <si>
    <t>オークション &gt; おもちゃ、ゲーム &gt; キャラクター玩具 &gt; ミッフィー &gt; その他</t>
  </si>
  <si>
    <t>オークション &gt; おもちゃ、ゲーム &gt; キャラクター玩具 &gt; リラックマ &gt; ぬいぐるみ</t>
  </si>
  <si>
    <t>オークション &gt; おもちゃ、ゲーム &gt; キャラクター玩具 &gt; リラックマ &gt; その他</t>
  </si>
  <si>
    <t>オークション &gt; おもちゃ、ゲーム &gt; キャラクター玩具 &gt; 仮面ライダー &gt; フィギュア</t>
  </si>
  <si>
    <t>オークション &gt; おもちゃ、ゲーム &gt; キャラクター玩具 &gt; 仮面ライダー &gt; その他</t>
  </si>
  <si>
    <t>ペット動物コレクション</t>
  </si>
  <si>
    <t>オークション &gt; おもちゃ、ゲーム &gt; 食玩、おまけ &gt; チョコエッグ &gt; ペット動物コレクション</t>
  </si>
  <si>
    <t>日本の動物コレクション</t>
  </si>
  <si>
    <t>オークション &gt; おもちゃ、ゲーム &gt; 食玩、おまけ &gt; チョコエッグ &gt; 日本の動物コレクション</t>
  </si>
  <si>
    <t>ディズニー・キャラクターコレクション</t>
  </si>
  <si>
    <t>オークション &gt; おもちゃ、ゲーム &gt; 食玩、おまけ &gt; チョコエッグ &gt; ディズニー・キャラクターコレクション</t>
  </si>
  <si>
    <t>オークション &gt; おもちゃ、ゲーム &gt; 食玩、おまけ &gt; チョコエッグ &gt; スーパーマリオ</t>
  </si>
  <si>
    <t>オークション &gt; おもちゃ、ゲーム &gt; 食玩、おまけ &gt; チョコエッグ &gt; その他</t>
  </si>
  <si>
    <t>ビックリマン2000</t>
  </si>
  <si>
    <t>オークション &gt; アンティーク、コレクション &gt; 雑貨 &gt; ステッカー &gt; ビックリマン &gt; ビックリマン2000</t>
  </si>
  <si>
    <t>旧ビックリマン</t>
  </si>
  <si>
    <t>オークション &gt; アンティーク、コレクション &gt; 雑貨 &gt; ステッカー &gt; ビックリマン &gt; 旧ビックリマン</t>
  </si>
  <si>
    <t>オークション &gt; アンティーク、コレクション &gt; 雑貨 &gt; ステッカー &gt; ビックリマン &gt; その他</t>
  </si>
  <si>
    <t>マクドナルド</t>
  </si>
  <si>
    <t>オークション &gt; おもちゃ、ゲーム &gt; ファーストフードトイ &gt; マクドナルド</t>
  </si>
  <si>
    <t>ケンタッキー・フライド・チキン</t>
  </si>
  <si>
    <t>オークション &gt; おもちゃ、ゲーム &gt; ファーストフードトイ &gt; ケンタッキー・フライド・チキン</t>
  </si>
  <si>
    <t>バーガーキング</t>
  </si>
  <si>
    <t>オークション &gt; おもちゃ、ゲーム &gt; ファーストフードトイ &gt; バーガーキング</t>
  </si>
  <si>
    <t>ミスタードーナツ</t>
  </si>
  <si>
    <t>オークション &gt; おもちゃ、ゲーム &gt; ファーストフードトイ &gt; ミスタードーナツ</t>
  </si>
  <si>
    <t>オークション &gt; おもちゃ、ゲーム &gt; ファーストフードトイ &gt; その他</t>
  </si>
  <si>
    <t>自動車</t>
  </si>
  <si>
    <t>オークション &gt; おもちゃ、ゲーム &gt; ミニカー &gt; 自動車</t>
  </si>
  <si>
    <t>オートバイ</t>
  </si>
  <si>
    <t>オークション &gt; おもちゃ、ゲーム &gt; ミニカー &gt; オートバイ</t>
  </si>
  <si>
    <t>建設車両、作業車</t>
  </si>
  <si>
    <t>オークション &gt; おもちゃ、ゲーム &gt; ミニカー &gt; 建設車両、作業車</t>
  </si>
  <si>
    <t>航空機</t>
  </si>
  <si>
    <t>オークション &gt; おもちゃ、ゲーム &gt; ミニカー &gt; 航空機</t>
  </si>
  <si>
    <t>戦車、軍用車両</t>
  </si>
  <si>
    <t>オークション &gt; おもちゃ、ゲーム &gt; ミニカー &gt; 戦車、軍用車両</t>
  </si>
  <si>
    <t>船、ボート</t>
  </si>
  <si>
    <t>オークション &gt; おもちゃ、ゲーム &gt; ミニカー &gt; 船、ボート</t>
  </si>
  <si>
    <t>ニンテンドースイッチ</t>
  </si>
  <si>
    <t>オークション &gt; おもちゃ、ゲーム &gt; ゲーム &gt; テレビゲーム &gt; ニンテンドースイッチ</t>
  </si>
  <si>
    <t>ニンテンドークラシックミニ</t>
  </si>
  <si>
    <t>オークション &gt; おもちゃ、ゲーム &gt; ゲーム &gt; テレビゲーム &gt; ニンテンドークラシックミニ</t>
  </si>
  <si>
    <t>ニンテンドー3DS</t>
  </si>
  <si>
    <t>オークション &gt; おもちゃ、ゲーム &gt; ゲーム &gt; テレビゲーム &gt; ニンテンドー3DS</t>
  </si>
  <si>
    <t>オークション &gt; おもちゃ、ゲーム &gt; ゲーム &gt; テレビゲーム &gt; ニンテンドーDS</t>
  </si>
  <si>
    <t>Wii U</t>
  </si>
  <si>
    <t>オークション &gt; おもちゃ、ゲーム &gt; ゲーム &gt; テレビゲーム &gt; Wii U</t>
  </si>
  <si>
    <t>Wii</t>
  </si>
  <si>
    <t>オークション &gt; おもちゃ、ゲーム &gt; ゲーム &gt; テレビゲーム &gt; Wii</t>
  </si>
  <si>
    <t>PS Vita</t>
  </si>
  <si>
    <t>オークション &gt; おもちゃ、ゲーム &gt; ゲーム &gt; テレビゲーム &gt; PS Vita</t>
  </si>
  <si>
    <t>オークション &gt; おもちゃ、ゲーム &gt; ゲーム &gt; テレビゲーム &gt; PSP（プレイステーション・ポータブル）</t>
  </si>
  <si>
    <t>プレイステーション4</t>
  </si>
  <si>
    <t>オークション &gt; おもちゃ、ゲーム &gt; ゲーム &gt; テレビゲーム &gt; プレイステーション4</t>
  </si>
  <si>
    <t>プレイステーション 3</t>
  </si>
  <si>
    <t>オークション &gt; おもちゃ、ゲーム &gt; ゲーム &gt; テレビゲーム &gt; プレイステーション 3</t>
  </si>
  <si>
    <t>プレイステーション2</t>
  </si>
  <si>
    <t>オークション &gt; おもちゃ、ゲーム &gt; ゲーム &gt; テレビゲーム &gt; プレイステーション2</t>
  </si>
  <si>
    <t>Xbox One</t>
  </si>
  <si>
    <t>オークション &gt; おもちゃ、ゲーム &gt; ゲーム &gt; テレビゲーム &gt; Xbox One</t>
  </si>
  <si>
    <t>Xbox 360</t>
  </si>
  <si>
    <t>オークション &gt; おもちゃ、ゲーム &gt; ゲーム &gt; テレビゲーム &gt; Xbox 360</t>
  </si>
  <si>
    <t>プレイステーション</t>
  </si>
  <si>
    <t>オークション &gt; おもちゃ、ゲーム &gt; ゲーム &gt; テレビゲーム &gt; プレイステーション</t>
  </si>
  <si>
    <t>オークション &gt; おもちゃ、ゲーム &gt; ゲーム &gt; テレビゲーム &gt; ゲームボーイアドバンス</t>
  </si>
  <si>
    <t>ゲームボーイミクロ</t>
  </si>
  <si>
    <t>オークション &gt; おもちゃ、ゲーム &gt; ゲーム &gt; テレビゲーム &gt; ゲームボーイミクロ</t>
  </si>
  <si>
    <t>オークション &gt; おもちゃ、ゲーム &gt; ゲーム &gt; テレビゲーム &gt; ゲームボーイ</t>
  </si>
  <si>
    <t>ゲームキューブ</t>
  </si>
  <si>
    <t>オークション &gt; おもちゃ、ゲーム &gt; ゲーム &gt; テレビゲーム &gt; ゲームキューブ</t>
  </si>
  <si>
    <t>NINTENDO 64</t>
  </si>
  <si>
    <t>オークション &gt; おもちゃ、ゲーム &gt; ゲーム &gt; テレビゲーム &gt; NINTENDO 64</t>
  </si>
  <si>
    <t>スーパーファミコン</t>
  </si>
  <si>
    <t>オークション &gt; おもちゃ、ゲーム &gt; ゲーム &gt; テレビゲーム &gt; スーパーファミコン</t>
  </si>
  <si>
    <t>ファミコン</t>
  </si>
  <si>
    <t>オークション &gt; おもちゃ、ゲーム &gt; ゲーム &gt; テレビゲーム &gt; ファミコン</t>
  </si>
  <si>
    <t>Xbox</t>
  </si>
  <si>
    <t>オークション &gt; おもちゃ、ゲーム &gt; ゲーム &gt; テレビゲーム &gt; Xbox</t>
  </si>
  <si>
    <t>セガ</t>
  </si>
  <si>
    <t>オークション &gt; おもちゃ、ゲーム &gt; ゲーム &gt; テレビゲーム &gt; セガ</t>
  </si>
  <si>
    <t>ネオジオ</t>
  </si>
  <si>
    <t>オークション &gt; おもちゃ、ゲーム &gt; ゲーム &gt; テレビゲーム &gt; ネオジオ</t>
  </si>
  <si>
    <t>3DO</t>
  </si>
  <si>
    <t>オークション &gt; おもちゃ、ゲーム &gt; ゲーム &gt; テレビゲーム &gt; 3DO</t>
  </si>
  <si>
    <t>NEC</t>
  </si>
  <si>
    <t>オークション &gt; おもちゃ、ゲーム &gt; ゲーム &gt; テレビゲーム &gt; NEC</t>
  </si>
  <si>
    <t>携帯型</t>
  </si>
  <si>
    <t>オークション &gt; おもちゃ、ゲーム &gt; ゲーム &gt; テレビゲーム &gt; 携帯型</t>
  </si>
  <si>
    <t>アーケードゲーム</t>
  </si>
  <si>
    <t>オークション &gt; おもちゃ、ゲーム &gt; ゲーム &gt; テレビゲーム &gt; アーケードゲーム</t>
  </si>
  <si>
    <t>ゲーム音楽CD</t>
  </si>
  <si>
    <t>オークション &gt; おもちゃ、ゲーム &gt; ゲーム &gt; テレビゲーム &gt; ゲーム音楽CD</t>
  </si>
  <si>
    <t>ゲーム攻略本</t>
  </si>
  <si>
    <t>オークション &gt; おもちゃ、ゲーム &gt; ゲーム &gt; テレビゲーム &gt; ゲーム攻略本</t>
  </si>
  <si>
    <t>オークション &gt; おもちゃ、ゲーム &gt; ゲーム &gt; テレビゲーム &gt; ゲーム雑誌</t>
  </si>
  <si>
    <t>オークション &gt; おもちゃ、ゲーム &gt; ゲーム &gt; テレビゲーム &gt; テレホンカード</t>
  </si>
  <si>
    <t>オークション &gt; おもちゃ、ゲーム &gt; ゲーム &gt; テレビゲーム &gt; その他</t>
  </si>
  <si>
    <t>アイカツ</t>
  </si>
  <si>
    <t>オークション &gt; おもちゃ、ゲーム &gt; ゲーム &gt; トレーディングカードゲーム &gt; アイカツ</t>
  </si>
  <si>
    <t>オーナーズホース</t>
  </si>
  <si>
    <t>オークション &gt; おもちゃ、ゲーム &gt; ゲーム &gt; トレーディングカードゲーム &gt; オーナーズホース</t>
  </si>
  <si>
    <t>きらりんレボリューション</t>
  </si>
  <si>
    <t>オークション &gt; おもちゃ、ゲーム &gt; ゲーム &gt; トレーディングカードゲーム &gt; きらりんレボリューション</t>
  </si>
  <si>
    <t>カードファイト!!　ヴァンガード</t>
  </si>
  <si>
    <t>オークション &gt; おもちゃ、ゲーム &gt; ゲーム &gt; トレーディングカードゲーム &gt; カードファイト!!　ヴァンガード</t>
  </si>
  <si>
    <t>ガンダムウォー</t>
  </si>
  <si>
    <t>オークション &gt; おもちゃ、ゲーム &gt; ゲーム &gt; トレーディングカードゲーム &gt; ガンダムウォー</t>
  </si>
  <si>
    <t>ガンダムトライエイジ</t>
  </si>
  <si>
    <t>オークション &gt; おもちゃ、ゲーム &gt; ゲーム &gt; トレーディングカードゲーム &gt; ガンダムトライエイジ</t>
  </si>
  <si>
    <t>キングオブプロレスリング</t>
  </si>
  <si>
    <t>オークション &gt; おもちゃ、ゲーム &gt; ゲーム &gt; トレーディングカードゲーム &gt; キングオブプロレスリング</t>
  </si>
  <si>
    <t>クルセイド</t>
  </si>
  <si>
    <t>オークション &gt; おもちゃ、ゲーム &gt; ゲーム &gt; トレーディングカードゲーム &gt; クルセイド</t>
  </si>
  <si>
    <t>仮面ライダーバトル ガンバライド</t>
  </si>
  <si>
    <t>オークション &gt; おもちゃ、ゲーム &gt; ゲーム &gt; トレーディングカードゲーム &gt; 仮面ライダーバトル ガンバライド</t>
  </si>
  <si>
    <t>Z/X ゼクス</t>
  </si>
  <si>
    <t>オークション &gt; おもちゃ、ゲーム &gt; ゲーム &gt; トレーディングカードゲーム &gt; Z/X ゼクス</t>
  </si>
  <si>
    <t>スーパー戦隊バトル ダイスオー</t>
  </si>
  <si>
    <t>オークション &gt; おもちゃ、ゲーム &gt; ゲーム &gt; トレーディングカードゲーム &gt; スーパー戦隊バトル ダイスオー</t>
  </si>
  <si>
    <t>三国志大戦</t>
  </si>
  <si>
    <t>オークション &gt; おもちゃ、ゲーム &gt; ゲーム &gt; トレーディングカードゲーム &gt; 三国志大戦</t>
  </si>
  <si>
    <t>神羅万象</t>
  </si>
  <si>
    <t>オークション &gt; おもちゃ、ゲーム &gt; ゲーム &gt; トレーディングカードゲーム &gt; 神羅万象</t>
  </si>
  <si>
    <t>戦国大戦</t>
  </si>
  <si>
    <t>オークション &gt; おもちゃ、ゲーム &gt; ゲーム &gt; トレーディングカードゲーム &gt; 戦国大戦</t>
  </si>
  <si>
    <t>オークション &gt; おもちゃ、ゲーム &gt; ゲーム &gt; トレーディングカードゲーム &gt; WCCF</t>
  </si>
  <si>
    <t>オークション &gt; おもちゃ、ゲーム &gt; ゲーム &gt; トレーディングカードゲーム &gt; デジタルモンスター</t>
  </si>
  <si>
    <t>デュエルマスターズ</t>
  </si>
  <si>
    <t>オークション &gt; おもちゃ、ゲーム &gt; ゲーム &gt; トレーディングカードゲーム &gt; デュエルマスターズ</t>
  </si>
  <si>
    <t>トリコ</t>
  </si>
  <si>
    <t>オークション &gt; おもちゃ、ゲーム &gt; ゲーム &gt; トレーディングカードゲーム &gt; トリコ</t>
  </si>
  <si>
    <t>オークション &gt; おもちゃ、ゲーム &gt; ゲーム &gt; トレーディングカードゲーム &gt; ドラゴンクエスト</t>
  </si>
  <si>
    <t>オークション &gt; おもちゃ、ゲーム &gt; ゲーム &gt; トレーディングカードゲーム &gt; ドラゴンボール</t>
  </si>
  <si>
    <t>超速変形ジャイロゼッター</t>
  </si>
  <si>
    <t>オークション &gt; おもちゃ、ゲーム &gt; ゲーム &gt; トレーディングカードゲーム &gt; 超速変形ジャイロゼッター</t>
  </si>
  <si>
    <t>オークション &gt; おもちゃ、ゲーム &gt; ゲーム &gt; トレーディングカードゲーム &gt; NARUTO</t>
  </si>
  <si>
    <t>バトルスピリッツ</t>
  </si>
  <si>
    <t>オークション &gt; おもちゃ、ゲーム &gt; ゲーム &gt; トレーディングカードゲーム &gt; バトルスピリッツ</t>
  </si>
  <si>
    <t>パニーニフットボールリーグ</t>
  </si>
  <si>
    <t>オークション &gt; おもちゃ、ゲーム &gt; ゲーム &gt; トレーディングカードゲーム &gt; パニーニフットボールリーグ</t>
  </si>
  <si>
    <t>ファイナルファンタジーTCG</t>
  </si>
  <si>
    <t>オークション &gt; おもちゃ、ゲーム &gt; ゲーム &gt; トレーディングカードゲーム &gt; ファイナルファンタジーTCG</t>
  </si>
  <si>
    <t>フットボールオールスターズ</t>
  </si>
  <si>
    <t>オークション &gt; おもちゃ、ゲーム &gt; ゲーム &gt; トレーディングカードゲーム &gt; フットボールオールスターズ</t>
  </si>
  <si>
    <t>プリキュア</t>
  </si>
  <si>
    <t>オークション &gt; おもちゃ、ゲーム &gt; ゲーム &gt; トレーディングカードゲーム &gt; プリキュア</t>
  </si>
  <si>
    <t>プリズムストーン</t>
  </si>
  <si>
    <t>オークション &gt; おもちゃ、ゲーム &gt; ゲーム &gt; トレーディングカードゲーム &gt; プリズムストーン</t>
  </si>
  <si>
    <t>プレシャスメモリーズ</t>
  </si>
  <si>
    <t>オークション &gt; おもちゃ、ゲーム &gt; ゲーム &gt; トレーディングカードゲーム &gt; プレシャスメモリーズ</t>
  </si>
  <si>
    <t>プロ野球オーナーズリーグ</t>
  </si>
  <si>
    <t>オークション &gt; おもちゃ、ゲーム &gt; ゲーム &gt; トレーディングカードゲーム &gt; プロ野球オーナーズリーグ</t>
  </si>
  <si>
    <t>ベースボールヒーローズ</t>
  </si>
  <si>
    <t>オークション &gt; おもちゃ、ゲーム &gt; ゲーム &gt; トレーディングカードゲーム &gt; ベースボールヒーローズ</t>
  </si>
  <si>
    <t>ポケモンカードゲーム</t>
  </si>
  <si>
    <t>オークション &gt; おもちゃ、ゲーム &gt; ゲーム &gt; トレーディングカードゲーム &gt; ポケモンカードゲーム</t>
  </si>
  <si>
    <t>ポケモントレッタ</t>
  </si>
  <si>
    <t>オークション &gt; おもちゃ、ゲーム &gt; ゲーム &gt; トレーディングカードゲーム &gt; ポケモントレッタ</t>
  </si>
  <si>
    <t>ポケモンバトリオ</t>
  </si>
  <si>
    <t>オークション &gt; おもちゃ、ゲーム &gt; ゲーム &gt; トレーディングカードゲーム &gt; ポケモンバトリオ</t>
  </si>
  <si>
    <t>ヴァイスシュヴァルツ</t>
  </si>
  <si>
    <t>オークション &gt; おもちゃ、ゲーム &gt; ゲーム &gt; トレーディングカードゲーム &gt; ヴァイスシュヴァルツ</t>
  </si>
  <si>
    <t>百獣大戦 アニマルカイザー</t>
  </si>
  <si>
    <t>オークション &gt; おもちゃ、ゲーム &gt; ゲーム &gt; トレーディングカードゲーム &gt; 百獣大戦 アニマルカイザー</t>
  </si>
  <si>
    <t>Magic: The Gathering</t>
  </si>
  <si>
    <t>オークション &gt; おもちゃ、ゲーム &gt; ゲーム &gt; トレーディングカードゲーム &gt; Magic: The Gathering</t>
  </si>
  <si>
    <t>遊戯王（コナミ）</t>
  </si>
  <si>
    <t>オークション &gt; おもちゃ、ゲーム &gt; ゲーム &gt; トレーディングカードゲーム &gt; 遊戯王（コナミ）</t>
  </si>
  <si>
    <t>遊戯王（バンダイ）</t>
  </si>
  <si>
    <t>オークション &gt; おもちゃ、ゲーム &gt; ゲーム &gt; トレーディングカードゲーム &gt; 遊戯王（バンダイ）</t>
  </si>
  <si>
    <t>妖怪ウォッチ</t>
  </si>
  <si>
    <t>オークション &gt; おもちゃ、ゲーム &gt; ゲーム &gt; トレーディングカードゲーム &gt; 妖怪ウォッチ</t>
  </si>
  <si>
    <t>オークション &gt; おもちゃ、ゲーム &gt; ゲーム &gt; トレーディングカードゲーム &gt; トレーディングカード</t>
  </si>
  <si>
    <t>リセ</t>
  </si>
  <si>
    <t>オークション &gt; おもちゃ、ゲーム &gt; ゲーム &gt; トレーディングカードゲーム &gt; リセ</t>
  </si>
  <si>
    <t>レンジャーズストライク</t>
  </si>
  <si>
    <t>オークション &gt; おもちゃ、ゲーム &gt; ゲーム &gt; トレーディングカードゲーム &gt; レンジャーズストライク</t>
  </si>
  <si>
    <t>ロード オブ ヴァーミリオン</t>
  </si>
  <si>
    <t>オークション &gt; おもちゃ、ゲーム &gt; ゲーム &gt; トレーディングカードゲーム &gt; ロード オブ ヴァーミリオン</t>
  </si>
  <si>
    <t>ワンピース</t>
  </si>
  <si>
    <t>オークション &gt; おもちゃ、ゲーム &gt; ゲーム &gt; トレーディングカードゲーム &gt; ワンピース</t>
  </si>
  <si>
    <t>オークション &gt; おもちゃ、ゲーム &gt; ゲーム &gt; トレーディングカードゲーム &gt; その他</t>
  </si>
  <si>
    <t>UNO</t>
  </si>
  <si>
    <t>オークション &gt; おもちゃ、ゲーム &gt; ゲーム &gt; カードゲーム &gt; UNO</t>
  </si>
  <si>
    <t>カルタ</t>
  </si>
  <si>
    <t>オークション &gt; おもちゃ、ゲーム &gt; ゲーム &gt; カードゲーム &gt; カルタ</t>
  </si>
  <si>
    <t>タロットカード</t>
  </si>
  <si>
    <t>オークション &gt; おもちゃ、ゲーム &gt; ゲーム &gt; カードゲーム &gt; タロットカード</t>
  </si>
  <si>
    <t>トランプ</t>
  </si>
  <si>
    <t>オークション &gt; おもちゃ、ゲーム &gt; ゲーム &gt; カードゲーム &gt; トランプ</t>
  </si>
  <si>
    <t>花札</t>
  </si>
  <si>
    <t>オークション &gt; おもちゃ、ゲーム &gt; ゲーム &gt; カードゲーム &gt; 花札</t>
  </si>
  <si>
    <t>百人一首</t>
  </si>
  <si>
    <t>オークション &gt; おもちゃ、ゲーム &gt; ゲーム &gt; カードゲーム &gt; 百人一首</t>
  </si>
  <si>
    <t>オークション &gt; おもちゃ、ゲーム &gt; ゲーム &gt; カードゲーム &gt; その他</t>
  </si>
  <si>
    <t>すごろく</t>
  </si>
  <si>
    <t>オークション &gt; おもちゃ、ゲーム &gt; ゲーム &gt; ボードゲーム &gt; すごろく</t>
  </si>
  <si>
    <t>ウォーゲーム</t>
  </si>
  <si>
    <t>オークション &gt; おもちゃ、ゲーム &gt; ゲーム &gt; ボードゲーム &gt; ウォーゲーム</t>
  </si>
  <si>
    <t>オセロ、リバーシ</t>
  </si>
  <si>
    <t>オークション &gt; おもちゃ、ゲーム &gt; ゲーム &gt; ボードゲーム &gt; オセロ、リバーシ</t>
  </si>
  <si>
    <t>サッカーゲーム</t>
  </si>
  <si>
    <t>オークション &gt; おもちゃ、ゲーム &gt; ゲーム &gt; ボードゲーム &gt; サッカーゲーム</t>
  </si>
  <si>
    <t>チェス</t>
  </si>
  <si>
    <t>オークション &gt; おもちゃ、ゲーム &gt; ゲーム &gt; ボードゲーム &gt; チェス</t>
  </si>
  <si>
    <t>モノポリー</t>
  </si>
  <si>
    <t>オークション &gt; おもちゃ、ゲーム &gt; ゲーム &gt; ボードゲーム &gt; モノポリー</t>
  </si>
  <si>
    <t>囲碁</t>
  </si>
  <si>
    <t>オークション &gt; おもちゃ、ゲーム &gt; ゲーム &gt; ボードゲーム &gt; 囲碁</t>
  </si>
  <si>
    <t>将棋</t>
  </si>
  <si>
    <t>オークション &gt; おもちゃ、ゲーム &gt; ゲーム &gt; ボードゲーム &gt; 将棋</t>
  </si>
  <si>
    <t>人生ゲーム</t>
  </si>
  <si>
    <t>オークション &gt; おもちゃ、ゲーム &gt; ゲーム &gt; ボードゲーム &gt; 人生ゲーム</t>
  </si>
  <si>
    <t>野球ゲーム</t>
  </si>
  <si>
    <t>オークション &gt; おもちゃ、ゲーム &gt; ゲーム &gt; ボードゲーム &gt; 野球ゲーム</t>
  </si>
  <si>
    <t>オークション &gt; おもちゃ、ゲーム &gt; ゲーム &gt; ボードゲーム &gt; その他</t>
  </si>
  <si>
    <t>ダーツ、矢</t>
  </si>
  <si>
    <t>オークション &gt; おもちゃ、ゲーム &gt; ゲーム &gt; ダーツ &gt; ダーツ、矢</t>
  </si>
  <si>
    <t>ボード</t>
  </si>
  <si>
    <t>オークション &gt; おもちゃ、ゲーム &gt; ゲーム &gt; ダーツ &gt; ボード</t>
  </si>
  <si>
    <t>アクセサリ</t>
  </si>
  <si>
    <t>オークション &gt; おもちゃ、ゲーム &gt; ゲーム &gt; ダーツ &gt; アクセサリ</t>
  </si>
  <si>
    <t>オークション &gt; おもちゃ、ゲーム &gt; ゲーム &gt; ダーツ &gt; その他</t>
  </si>
  <si>
    <t>カード</t>
  </si>
  <si>
    <t>オークション &gt; おもちゃ、ゲーム &gt; 手品、パーティグッズ &gt; 手品 &gt; カード</t>
  </si>
  <si>
    <t>コイン</t>
  </si>
  <si>
    <t>オークション &gt; おもちゃ、ゲーム &gt; 手品、パーティグッズ &gt; 手品 &gt; コイン</t>
  </si>
  <si>
    <t>マニュアル</t>
  </si>
  <si>
    <t>オークション &gt; おもちゃ、ゲーム &gt; 手品、パーティグッズ &gt; 手品 &gt; マニュアル</t>
  </si>
  <si>
    <t>オークション &gt; おもちゃ、ゲーム &gt; 手品、パーティグッズ &gt; 手品 &gt; その他</t>
  </si>
  <si>
    <t>かつら</t>
  </si>
  <si>
    <t>オークション &gt; おもちゃ、ゲーム &gt; 手品、パーティグッズ &gt; パーティグッズ &gt; かつら</t>
  </si>
  <si>
    <t>クラッカー</t>
  </si>
  <si>
    <t>オークション &gt; おもちゃ、ゲーム &gt; 手品、パーティグッズ &gt; パーティグッズ &gt; クラッカー</t>
  </si>
  <si>
    <t>オークション &gt; おもちゃ、ゲーム &gt; 手品、パーティグッズ &gt; パーティグッズ &gt; コスプレ衣装</t>
  </si>
  <si>
    <t>マスク</t>
  </si>
  <si>
    <t>オークション &gt; おもちゃ、ゲーム &gt; 手品、パーティグッズ &gt; パーティグッズ &gt; マスク</t>
  </si>
  <si>
    <t>着ぐるみ</t>
  </si>
  <si>
    <t>オークション &gt; おもちゃ、ゲーム &gt; 手品、パーティグッズ &gt; パーティグッズ &gt; 着ぐるみ</t>
  </si>
  <si>
    <t>衣装</t>
  </si>
  <si>
    <t>オークション &gt; おもちゃ、ゲーム &gt; 手品、パーティグッズ &gt; パーティグッズ &gt; 衣装</t>
  </si>
  <si>
    <t>ゲーム</t>
  </si>
  <si>
    <t>オークション &gt; おもちゃ、ゲーム &gt; 手品、パーティグッズ &gt; パーティグッズ &gt; ゲーム</t>
  </si>
  <si>
    <t>オークション &gt; おもちゃ、ゲーム &gt; 手品、パーティグッズ &gt; パーティグッズ &gt; その他</t>
  </si>
  <si>
    <t>レゴ ベビー</t>
  </si>
  <si>
    <t>オークション &gt; おもちゃ、ゲーム &gt; ブロック、積木 &gt; LEGO &gt; レゴ ベビー</t>
  </si>
  <si>
    <t>レゴ デュプロ</t>
  </si>
  <si>
    <t>オークション &gt; おもちゃ、ゲーム &gt; ブロック、積木 &gt; LEGO &gt; レゴ デュプロ</t>
  </si>
  <si>
    <t>レゴ ディズニー</t>
  </si>
  <si>
    <t>オークション &gt; おもちゃ、ゲーム &gt; ブロック、積木 &gt; LEGO &gt; レゴ ディズニー</t>
  </si>
  <si>
    <t>基本セット</t>
  </si>
  <si>
    <t>オークション &gt; おもちゃ、ゲーム &gt; ブロック、積木 &gt; LEGO &gt; 基本セット</t>
  </si>
  <si>
    <t>お城シリーズ</t>
  </si>
  <si>
    <t>オークション &gt; おもちゃ、ゲーム &gt; ブロック、積木 &gt; LEGO &gt; お城シリーズ</t>
  </si>
  <si>
    <t>スペースポート</t>
  </si>
  <si>
    <t>オークション &gt; おもちゃ、ゲーム &gt; ブロック、積木 &gt; LEGO &gt; スペースポート</t>
  </si>
  <si>
    <t>レゴ スター・ウォーズ</t>
  </si>
  <si>
    <t>オークション &gt; おもちゃ、ゲーム &gt; ブロック、積木 &gt; LEGO &gt; レゴ スター・ウォーズ</t>
  </si>
  <si>
    <t>レゴ スポーツ</t>
  </si>
  <si>
    <t>オークション &gt; おもちゃ、ゲーム &gt; ブロック、積木 &gt; LEGO &gt; レゴ スポーツ</t>
  </si>
  <si>
    <t>レゴ レーシング</t>
  </si>
  <si>
    <t>オークション &gt; おもちゃ、ゲーム &gt; ブロック、積木 &gt; LEGO &gt; レゴ レーシング</t>
  </si>
  <si>
    <t>街シリーズ</t>
  </si>
  <si>
    <t>オークション &gt; おもちゃ、ゲーム &gt; ブロック、積木 &gt; LEGO &gt; 街シリーズ</t>
  </si>
  <si>
    <t>世界の冒険シリーズ</t>
  </si>
  <si>
    <t>オークション &gt; おもちゃ、ゲーム &gt; ブロック、積木 &gt; LEGO &gt; 世界の冒険シリーズ</t>
  </si>
  <si>
    <t>レゴ テクニック</t>
  </si>
  <si>
    <t>オークション &gt; おもちゃ、ゲーム &gt; ブロック、積木 &gt; LEGO &gt; レゴ テクニック</t>
  </si>
  <si>
    <t>レゴ ハリー・ポッター</t>
  </si>
  <si>
    <t>オークション &gt; おもちゃ、ゲーム &gt; ブロック、積木 &gt; LEGO &gt; レゴ ハリー・ポッター</t>
  </si>
  <si>
    <t>レゴ バイオニクル</t>
  </si>
  <si>
    <t>オークション &gt; おもちゃ、ゲーム &gt; ブロック、積木 &gt; LEGO &gt; レゴ バイオニクル</t>
  </si>
  <si>
    <t>パーツ、部品</t>
  </si>
  <si>
    <t>オークション &gt; おもちゃ、ゲーム &gt; ブロック、積木 &gt; LEGO &gt; パーツ、部品</t>
  </si>
  <si>
    <t>関連グッズ</t>
  </si>
  <si>
    <t>オークション &gt; おもちゃ、ゲーム &gt; ブロック、積木 &gt; LEGO &gt; 関連グッズ</t>
  </si>
  <si>
    <t>コカ・コーラコレクション</t>
  </si>
  <si>
    <t>オークション &gt; おもちゃ、ゲーム &gt; ブロック、積木 &gt; LEGO &gt; コカ・コーラコレクション</t>
  </si>
  <si>
    <t>オークション &gt; おもちゃ、ゲーム &gt; ブロック、積木 &gt; LEGO &gt; その他</t>
  </si>
  <si>
    <t>メタルファイトベイブレード</t>
  </si>
  <si>
    <t>オークション &gt; おもちゃ、ゲーム &gt; こま &gt; ベイブレード &gt; メタルファイトベイブレード</t>
  </si>
  <si>
    <t>オークション &gt; おもちゃ、ゲーム &gt; こま &gt; ベイブレード &gt; その他</t>
  </si>
  <si>
    <t>文字、ことば</t>
  </si>
  <si>
    <t>オークション &gt; おもちゃ、ゲーム &gt; 知育玩具 &gt; 文字、ことば</t>
  </si>
  <si>
    <t>かず、計算</t>
  </si>
  <si>
    <t>オークション &gt; おもちゃ、ゲーム &gt; 知育玩具 &gt; かず、計算</t>
  </si>
  <si>
    <t>リズム、音楽</t>
  </si>
  <si>
    <t>オークション &gt; おもちゃ、ゲーム &gt; 知育玩具 &gt; リズム、音楽</t>
  </si>
  <si>
    <t>英語</t>
  </si>
  <si>
    <t>オークション &gt; おもちゃ、ゲーム &gt; 知育玩具 &gt; 英語</t>
  </si>
  <si>
    <t>オークション &gt; おもちゃ、ゲーム &gt; 知育玩具 &gt; カルタ</t>
  </si>
  <si>
    <t>パズル</t>
  </si>
  <si>
    <t>オークション &gt; おもちゃ、ゲーム &gt; 知育玩具 &gt; パズル</t>
  </si>
  <si>
    <t>ブロック、積木</t>
  </si>
  <si>
    <t>オークション &gt; おもちゃ、ゲーム &gt; 知育玩具 &gt; ブロック、積木</t>
  </si>
  <si>
    <t>学習参考書</t>
  </si>
  <si>
    <t>オークション &gt; おもちゃ、ゲーム &gt; 知育玩具 &gt; 学習参考書</t>
  </si>
  <si>
    <t>知育絵本、学習絵本</t>
  </si>
  <si>
    <t>オークション &gt; おもちゃ、ゲーム &gt; 知育玩具 &gt; 知育絵本、学習絵本</t>
  </si>
  <si>
    <t>オークション &gt; おもちゃ、ゲーム &gt; 知育玩具 &gt; その他</t>
  </si>
  <si>
    <t>ギター</t>
  </si>
  <si>
    <t>オークション &gt; ホビー、カルチャー &gt; 楽器、器材 &gt; ギター</t>
  </si>
  <si>
    <t>ベース</t>
  </si>
  <si>
    <t>オークション &gt; ホビー、カルチャー &gt; 楽器、器材 &gt; ベース</t>
  </si>
  <si>
    <t>弦楽器</t>
  </si>
  <si>
    <t>オークション &gt; ホビー、カルチャー &gt; 楽器、器材 &gt; 弦楽器</t>
  </si>
  <si>
    <t>管楽器</t>
  </si>
  <si>
    <t>オークション &gt; ホビー、カルチャー &gt; 楽器、器材 &gt; 管楽器</t>
  </si>
  <si>
    <t>鍵盤楽器</t>
  </si>
  <si>
    <t>オークション &gt; ホビー、カルチャー &gt; 楽器、器材 &gt; 鍵盤楽器</t>
  </si>
  <si>
    <t>打楽器</t>
  </si>
  <si>
    <t>オークション &gt; ホビー、カルチャー &gt; 楽器、器材 &gt; 打楽器</t>
  </si>
  <si>
    <t>和楽器</t>
  </si>
  <si>
    <t>オークション &gt; ホビー、カルチャー &gt; 楽器、器材 &gt; 和楽器</t>
  </si>
  <si>
    <t>レコーディング、PA機器</t>
  </si>
  <si>
    <t>オークション &gt; ホビー、カルチャー &gt; 楽器、器材 &gt; レコーディング、PA機器</t>
  </si>
  <si>
    <t>DJ機器</t>
  </si>
  <si>
    <t>オークション &gt; ホビー、カルチャー &gt; 楽器、器材 &gt; DJ機器</t>
  </si>
  <si>
    <t>DTM、DAW</t>
  </si>
  <si>
    <t>オークション &gt; ホビー、カルチャー &gt; 楽器、器材 &gt; DTM、DAW</t>
  </si>
  <si>
    <t>アンプ</t>
  </si>
  <si>
    <t>オークション &gt; ホビー、カルチャー &gt; 楽器、器材 &gt; アンプ</t>
  </si>
  <si>
    <t>メトロノーム</t>
  </si>
  <si>
    <t>オークション &gt; ホビー、カルチャー &gt; 楽器、器材 &gt; メトロノーム</t>
  </si>
  <si>
    <t>譜面台</t>
  </si>
  <si>
    <t>オークション &gt; ホビー、カルチャー &gt; 楽器、器材 &gt; 譜面台</t>
  </si>
  <si>
    <t>防音用品</t>
  </si>
  <si>
    <t>オークション &gt; ホビー、カルチャー &gt; 楽器、器材 &gt; 防音用品</t>
  </si>
  <si>
    <t>楽器玩具</t>
  </si>
  <si>
    <t>オークション &gt; ホビー、カルチャー &gt; 楽器、器材 &gt; 楽器玩具</t>
  </si>
  <si>
    <t>楽譜</t>
  </si>
  <si>
    <t>オークション &gt; ホビー、カルチャー &gt; 楽器、器材 &gt; 楽譜</t>
  </si>
  <si>
    <t>レコーディング、音楽制作</t>
  </si>
  <si>
    <t>オークション &gt; ホビー、カルチャー &gt; 楽器、器材 &gt; レコーディング、音楽制作</t>
  </si>
  <si>
    <t>楽器リペア、改造</t>
  </si>
  <si>
    <t>オークション &gt; ホビー、カルチャー &gt; 楽器、器材 &gt; 楽器リペア、改造</t>
  </si>
  <si>
    <t>楽器レッスン</t>
  </si>
  <si>
    <t>オークション &gt; ホビー、カルチャー &gt; 楽器、器材 &gt; 楽器レッスン</t>
  </si>
  <si>
    <t>楽器レンタル</t>
  </si>
  <si>
    <t>オークション &gt; ホビー、カルチャー &gt; 楽器、器材 &gt; 楽器レンタル</t>
  </si>
  <si>
    <t>オークション &gt; ホビー、カルチャー &gt; 楽器、器材 &gt; その他</t>
  </si>
  <si>
    <t>ジグソーパズル</t>
  </si>
  <si>
    <t>オークション &gt; おもちゃ、ゲーム &gt; パズル &gt; ジグソーパズル</t>
  </si>
  <si>
    <t>ルービックキューブ</t>
  </si>
  <si>
    <t>オークション &gt; おもちゃ、ゲーム &gt; パズル &gt; ルービックキューブ</t>
  </si>
  <si>
    <t>知恵の輪</t>
  </si>
  <si>
    <t>オークション &gt; おもちゃ、ゲーム &gt; パズル &gt; 知恵の輪</t>
  </si>
  <si>
    <t>立体パズル</t>
  </si>
  <si>
    <t>オークション &gt; おもちゃ、ゲーム &gt; パズル &gt; 立体パズル</t>
  </si>
  <si>
    <t>オークション &gt; おもちゃ、ゲーム &gt; パズル &gt; その他</t>
  </si>
  <si>
    <t>LEGO</t>
  </si>
  <si>
    <t>オークション &gt; おもちゃ、ゲーム &gt; ブロック、積木 &gt; LEGO</t>
  </si>
  <si>
    <t>オークション &gt; おもちゃ、ゲーム &gt; ブロック、積木 &gt; キューブリック、ベアブリック</t>
  </si>
  <si>
    <t>ブロック</t>
  </si>
  <si>
    <t>オークション &gt; おもちゃ、ゲーム &gt; ブロック、積木 &gt; ブロック</t>
  </si>
  <si>
    <t>プレイモービル</t>
  </si>
  <si>
    <t>オークション &gt; おもちゃ、ゲーム &gt; ブロック、積木 &gt; プレイモービル</t>
  </si>
  <si>
    <t>積木</t>
  </si>
  <si>
    <t>オークション &gt; おもちゃ、ゲーム &gt; ブロック、積木 &gt; 積木</t>
  </si>
  <si>
    <t>オークション &gt; おもちゃ、ゲーム &gt; ブロック、積木 &gt; その他</t>
  </si>
  <si>
    <t>AIBO</t>
  </si>
  <si>
    <t>オークション &gt; おもちゃ、ゲーム &gt; 電子玩具 &gt; バーチャルペット &gt; AIBO</t>
  </si>
  <si>
    <t>たまごっち</t>
  </si>
  <si>
    <t>オークション &gt; おもちゃ、ゲーム &gt; 電子玩具 &gt; バーチャルペット &gt; たまごっち</t>
  </si>
  <si>
    <t>オークション &gt; おもちゃ、ゲーム &gt; 電子玩具 &gt; バーチャルペット &gt; ファービー</t>
  </si>
  <si>
    <t>プーチ</t>
  </si>
  <si>
    <t>オークション &gt; おもちゃ、ゲーム &gt; 電子玩具 &gt; バーチャルペット &gt; プーチ</t>
  </si>
  <si>
    <t>オークション &gt; おもちゃ、ゲーム &gt; 電子玩具 &gt; バーチャルペット &gt; プリモプエル</t>
  </si>
  <si>
    <t>ワンタメ アイドルパピー</t>
  </si>
  <si>
    <t>オークション &gt; おもちゃ、ゲーム &gt; 電子玩具 &gt; バーチャルペット &gt; ワンタメ アイドルパピー</t>
  </si>
  <si>
    <t>オークション &gt; おもちゃ、ゲーム &gt; 電子玩具 &gt; バーチャルペット &gt; その他</t>
  </si>
  <si>
    <t>エピソード4:新たなる希望</t>
  </si>
  <si>
    <t>オークション &gt; おもちゃ、ゲーム &gt; SF &gt; スター・ウォーズシリーズ &gt; エピソード4:新たなる希望</t>
  </si>
  <si>
    <t>エピソード5:帝国の逆襲</t>
  </si>
  <si>
    <t>オークション &gt; おもちゃ、ゲーム &gt; SF &gt; スター・ウォーズシリーズ &gt; エピソード5:帝国の逆襲</t>
  </si>
  <si>
    <t>エピソード6:ジェダイの復讐</t>
  </si>
  <si>
    <t>オークション &gt; おもちゃ、ゲーム &gt; SF &gt; スター・ウォーズシリーズ &gt; エピソード6:ジェダイの復讐</t>
  </si>
  <si>
    <t>エピソード1:ファントム・メナス</t>
  </si>
  <si>
    <t>オークション &gt; おもちゃ、ゲーム &gt; SF &gt; スター・ウォーズシリーズ &gt; エピソード1:ファントム・メナス</t>
  </si>
  <si>
    <t>オークション &gt; おもちゃ、ゲーム &gt; SF &gt; スター・ウォーズシリーズ &gt; LEGO</t>
  </si>
  <si>
    <t>コレクション全般</t>
  </si>
  <si>
    <t>オークション &gt; おもちゃ、ゲーム &gt; SF &gt; スター・ウォーズシリーズ &gt; コレクション全般</t>
  </si>
  <si>
    <t>オークション &gt; おもちゃ、ゲーム &gt; SF &gt; スター・ウォーズシリーズ &gt; フィギュア</t>
  </si>
  <si>
    <t>オークション &gt; おもちゃ、ゲーム &gt; SF &gt; スター・ウォーズシリーズ &gt; その他</t>
  </si>
  <si>
    <t>マクドナルドキャラクター</t>
  </si>
  <si>
    <t>オークション &gt; おもちゃ、ゲーム &gt; ファーストフードトイ &gt; マクドナルド &gt; マクドナルドキャラクター</t>
  </si>
  <si>
    <t>オリンピック</t>
  </si>
  <si>
    <t>オークション &gt; おもちゃ、ゲーム &gt; ファーストフードトイ &gt; マクドナルド &gt; オリンピック</t>
  </si>
  <si>
    <t>スヌーピー、ピーナッツ</t>
  </si>
  <si>
    <t>オークション &gt; おもちゃ、ゲーム &gt; ファーストフードトイ &gt; マクドナルド &gt; スヌーピー、ピーナッツ</t>
  </si>
  <si>
    <t>テディ・ベア</t>
  </si>
  <si>
    <t>オークション &gt; おもちゃ、ゲーム &gt; ファーストフードトイ &gt; マクドナルド &gt; テディ・ベア</t>
  </si>
  <si>
    <t>オークション &gt; おもちゃ、ゲーム &gt; ファーストフードトイ &gt; マクドナルド &gt; ディズニー</t>
  </si>
  <si>
    <t>オークション &gt; おもちゃ、ゲーム &gt; ファーストフードトイ &gt; マクドナルド &gt; ハローキティ</t>
  </si>
  <si>
    <t>オークション &gt; おもちゃ、ゲーム &gt; ファーストフードトイ &gt; マクドナルド &gt; バービー</t>
  </si>
  <si>
    <t>プレステキャラクター</t>
  </si>
  <si>
    <t>オークション &gt; おもちゃ、ゲーム &gt; ファーストフードトイ &gt; マクドナルド &gt; プレステキャラクター</t>
  </si>
  <si>
    <t>ミニカー</t>
  </si>
  <si>
    <t>オークション &gt; おもちゃ、ゲーム &gt; ファーストフードトイ &gt; マクドナルド &gt; ミニカー</t>
  </si>
  <si>
    <t>オークション &gt; おもちゃ、ゲーム &gt; ファーストフードトイ &gt; マクドナルド &gt; その他</t>
  </si>
  <si>
    <t>トートバッグ</t>
  </si>
  <si>
    <t>オークション &gt; おもちゃ、ゲーム &gt; ファーストフードトイ &gt; ミスタードーナツ &gt; トートバッグ</t>
  </si>
  <si>
    <t>ノート、手帳</t>
  </si>
  <si>
    <t>オークション &gt; おもちゃ、ゲーム &gt; ファーストフードトイ &gt; ミスタードーナツ &gt; ノート、手帳</t>
  </si>
  <si>
    <t>ポーチ</t>
  </si>
  <si>
    <t>オークション &gt; おもちゃ、ゲーム &gt; ファーストフードトイ &gt; ミスタードーナツ &gt; ポーチ</t>
  </si>
  <si>
    <t>リュックサック</t>
  </si>
  <si>
    <t>オークション &gt; おもちゃ、ゲーム &gt; ファーストフードトイ &gt; ミスタードーナツ &gt; リュックサック</t>
  </si>
  <si>
    <t>食器</t>
  </si>
  <si>
    <t>オークション &gt; おもちゃ、ゲーム &gt; ファーストフードトイ &gt; ミスタードーナツ &gt; 食器</t>
  </si>
  <si>
    <t>弁当箱</t>
  </si>
  <si>
    <t>オークション &gt; おもちゃ、ゲーム &gt; ファーストフードトイ &gt; ミスタードーナツ &gt; 弁当箱</t>
  </si>
  <si>
    <t>オークション &gt; おもちゃ、ゲーム &gt; ファーストフードトイ &gt; ミスタードーナツ &gt; その他</t>
  </si>
  <si>
    <t>1人～</t>
  </si>
  <si>
    <t>オークション &gt; スポーツ、レジャー &gt; キャンプ、アウトドア用品 &gt; レジャーシート &gt; 1人～</t>
  </si>
  <si>
    <t>4人～</t>
  </si>
  <si>
    <t>オークション &gt; スポーツ、レジャー &gt; キャンプ、アウトドア用品 &gt; レジャーシート &gt; 4人～</t>
  </si>
  <si>
    <t>8人～</t>
  </si>
  <si>
    <t>オークション &gt; スポーツ、レジャー &gt; キャンプ、アウトドア用品 &gt; レジャーシート &gt; 8人～</t>
  </si>
  <si>
    <t>タープ</t>
  </si>
  <si>
    <t>オークション &gt; スポーツ、レジャー &gt; キャンプ、アウトドア用品 &gt; レジャーシート &gt; タープ</t>
  </si>
  <si>
    <t>ビーチパラソル</t>
  </si>
  <si>
    <t>オークション &gt; スポーツ、レジャー &gt; キャンプ、アウトドア用品 &gt; レジャーシート &gt; ビーチパラソル</t>
  </si>
  <si>
    <t>寝袋、ベッド、寝具</t>
  </si>
  <si>
    <t>オークション &gt; スポーツ、レジャー &gt; キャンプ、アウトドア用品 &gt; レジャーシート &gt; 寝袋、ベッド、寝具</t>
  </si>
  <si>
    <t>チェア</t>
  </si>
  <si>
    <t>オークション &gt; スポーツ、レジャー &gt; キャンプ、アウトドア用品 &gt; レジャーシート &gt; チェア</t>
  </si>
  <si>
    <t>テーブル</t>
  </si>
  <si>
    <t>オークション &gt; スポーツ、レジャー &gt; キャンプ、アウトドア用品 &gt; レジャーシート &gt; テーブル</t>
  </si>
  <si>
    <t>ホンダ用</t>
  </si>
  <si>
    <t>オークション &gt; 自動車、オートバイ &gt; オートバイ &gt; アクセサリー &gt; キャリア、グラブバー &gt; ホンダ用</t>
  </si>
  <si>
    <t>Đối với Honda</t>
  </si>
  <si>
    <t>Đấu giá&gt; ô tô, xe máy&gt; xe máy&gt; Phụ kiện&gt; Carrier, lấy thanh&gt; cho Honda</t>
  </si>
  <si>
    <t>ヤマハ用</t>
  </si>
  <si>
    <t>オークション &gt; 自動車、オートバイ &gt; オートバイ &gt; アクセサリー &gt; キャリア、グラブバー &gt; ヤマハ用</t>
  </si>
  <si>
    <t>Đối với Yamaha</t>
  </si>
  <si>
    <t>Đấu giá&gt; ô tô, xe máy&gt; xe máy&gt; Phụ kiện&gt; Carrier, lấy thanh&gt; cho Yamaha</t>
  </si>
  <si>
    <t>スズキ用</t>
  </si>
  <si>
    <t>オークション &gt; 自動車、オートバイ &gt; オートバイ &gt; アクセサリー &gt; キャリア、グラブバー &gt; スズキ用</t>
  </si>
  <si>
    <t>Đối với Suzuki</t>
  </si>
  <si>
    <t>Đấu giá&gt; ô tô, xe máy&gt; xe máy&gt; Phụ kiện&gt; Carrier, lấy thanh&gt; cho Suzuki</t>
  </si>
  <si>
    <t>カワサキ用</t>
  </si>
  <si>
    <t>オークション &gt; 自動車、オートバイ &gt; オートバイ &gt; アクセサリー &gt; キャリア、グラブバー &gt; カワサキ用</t>
  </si>
  <si>
    <t>Đối với Kawasaki</t>
  </si>
  <si>
    <t>Đấu giá&gt; ô tô, xe máy&gt; xe máy&gt; Phụ kiện&gt; Carrier, lấy thanh&gt; cho Kawasaki</t>
  </si>
  <si>
    <t>BMW用</t>
  </si>
  <si>
    <t>オークション &gt; 自動車、オートバイ &gt; オートバイ &gt; アクセサリー &gt; キャリア、グラブバー &gt; BMW用</t>
  </si>
  <si>
    <t>Đối với BMW</t>
  </si>
  <si>
    <t>Đấu giá&gt; ô tô, xe máy&gt; xe máy&gt; Phụ kiện&gt; Carrier, lấy thanh&gt; cho BMW</t>
  </si>
  <si>
    <t>ドゥカティ用</t>
  </si>
  <si>
    <t>オークション &gt; 自動車、オートバイ &gt; オートバイ &gt; アクセサリー &gt; キャリア、グラブバー &gt; ドゥカティ用</t>
  </si>
  <si>
    <t>Đối với Ducati</t>
  </si>
  <si>
    <t>Đấu giá&gt; ô tô, xe máy&gt; xe máy&gt; Phụ kiện&gt; Carrier, lấy thanh&gt; cho Ducati</t>
  </si>
  <si>
    <t>ハーレーダビッドソン用</t>
  </si>
  <si>
    <t>オークション &gt; 自動車、オートバイ &gt; オートバイ &gt; アクセサリー &gt; キャリア、グラブバー &gt; ハーレーダビッドソン用</t>
  </si>
  <si>
    <t>Đối với Harley Davidson</t>
  </si>
  <si>
    <t>Đấu giá&gt; ô tô, xe máy&gt; xe máy&gt; Phụ kiện&gt; Carrier, lấy thanh&gt; cho Harley-Davidson</t>
  </si>
  <si>
    <t>トップケース</t>
  </si>
  <si>
    <t>オークション &gt; 自動車、オートバイ &gt; オートバイ &gt; アクセサリー &gt; キャリア、グラブバー &gt; トップケース</t>
  </si>
  <si>
    <t>Trường hợp đầu</t>
  </si>
  <si>
    <t>Đấu giá&gt; ô tô, xe máy&gt; xe máy&gt; Phụ kiện&gt; Carrier, lấy thanh&gt; trường hợp đầu</t>
  </si>
  <si>
    <t>パニアケース</t>
  </si>
  <si>
    <t>オークション &gt; 自動車、オートバイ &gt; オートバイ &gt; アクセサリー &gt; キャリア、グラブバー &gt; パニアケース</t>
  </si>
  <si>
    <t>trường hợp thúng</t>
  </si>
  <si>
    <t>Đấu giá&gt; ô tô, xe máy&gt; xe máy&gt; Phụ kiện&gt; Carrier, lấy thanh&gt; trường hợp Pannier</t>
  </si>
  <si>
    <t>フロントバスケット</t>
  </si>
  <si>
    <t>オークション &gt; 自動車、オートバイ &gt; オートバイ &gt; アクセサリー &gt; キャリア、グラブバー &gt; フロントバスケット</t>
  </si>
  <si>
    <t>giỏ trước</t>
  </si>
  <si>
    <t>Đấu giá&gt; ô tô, xe máy&gt; xe máy&gt; Phụ kiện&gt; Carrier, lấy thanh&gt; Giao diện giỏ</t>
  </si>
  <si>
    <t>オークション &gt; 自動車、オートバイ &gt; オートバイ &gt; アクセサリー &gt; キャリア、グラブバー &gt; その他</t>
  </si>
  <si>
    <t>nếu không thì</t>
  </si>
  <si>
    <t>Đấu giá&gt; ô tô, xe máy&gt; xe máy&gt; Phụ kiện&gt; Carrier, lấy thanh&gt; Khác</t>
  </si>
  <si>
    <t>U字ロック</t>
  </si>
  <si>
    <t>オークション &gt; 自動車、オートバイ &gt; オートバイ &gt; セキュリティ、セーフティ &gt; 鍵、ロック &gt; U字ロック</t>
  </si>
  <si>
    <t>U-lock</t>
  </si>
  <si>
    <t>Đấu giá&gt; ô tô, xe máy&gt; xe máy&gt; an ninh, an toàn&gt; Phím, khóa&gt; Khóa chữ U</t>
  </si>
  <si>
    <t>ディスクロック</t>
  </si>
  <si>
    <t>オークション &gt; 自動車、オートバイ &gt; オートバイ &gt; セキュリティ、セーフティ &gt; 鍵、ロック &gt; ディスクロック</t>
  </si>
  <si>
    <t>khóa đĩa</t>
  </si>
  <si>
    <t>Đấu giá&gt; ô tô, xe máy&gt; xe máy&gt; an ninh, an toàn&gt; Phím, khóa&gt; Khóa đĩa</t>
  </si>
  <si>
    <t>ワイヤーロック、チェーンロック</t>
  </si>
  <si>
    <t>オークション &gt; 自動車、オートバイ &gt; オートバイ &gt; セキュリティ、セーフティ &gt; 鍵、ロック &gt; ワイヤーロック、チェーンロック</t>
  </si>
  <si>
    <t>khóa dây, khóa xích</t>
  </si>
  <si>
    <t>Đấu giá&gt; ô tô, xe máy&gt; xe máy&gt; an ninh, an toàn&gt; Phím, khóa&gt; Khóa dây, khóa xích</t>
  </si>
  <si>
    <t>手錠型</t>
  </si>
  <si>
    <t>オークション &gt; 自動車、オートバイ &gt; オートバイ &gt; セキュリティ、セーフティ &gt; 鍵、ロック &gt; 手錠型</t>
  </si>
  <si>
    <t>loại còng tay</t>
  </si>
  <si>
    <t>Đấu giá&gt; ô tô, xe máy&gt; xe máy&gt; an ninh, an toàn&gt; Phím, khóa&gt; còng tay loại</t>
  </si>
  <si>
    <t>オークション &gt; 自動車、オートバイ &gt; オートバイ &gt; セキュリティ、セーフティ &gt; 鍵、ロック &gt; その他</t>
  </si>
  <si>
    <t>Đấu giá&gt; ô tô, xe máy&gt; xe máy&gt; an ninh, an toàn&gt; Phím, khóa&gt;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</si>
</sst>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rial"/>
    </font>
    <font>
      <sz val="8"/>
      <color rgb="FF212529"/>
      <name val="Roboto"/>
    </font>
    <font>
      <sz val="11"/>
      <color rgb="FF000000"/>
      <name val="Inconsolata"/>
    </font>
    <font>
      <b/>
      <sz val="8"/>
      <color rgb="FF212529"/>
      <name val="Roboto"/>
    </font>
    <font>
      <sz val="8"/>
      <color rgb="FF000000"/>
      <name val="Inconsolata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wrapText="1"/>
    </xf>
    <xf numFmtId="0" fontId="2" fillId="2" borderId="0" xfId="0" applyFont="1" applyFill="1"/>
    <xf numFmtId="0" fontId="1" fillId="2" borderId="3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3" fillId="2" borderId="3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wrapText="1"/>
    </xf>
    <xf numFmtId="0" fontId="5" fillId="0" borderId="0" xfId="0" applyFont="1" applyAlignment="1"/>
    <xf numFmtId="0" fontId="1" fillId="3" borderId="5" xfId="0" applyFont="1" applyFill="1" applyBorder="1" applyAlignment="1">
      <alignment horizontal="right" vertical="top" wrapText="1"/>
    </xf>
    <xf numFmtId="0" fontId="1" fillId="3" borderId="5" xfId="0" applyFont="1" applyFill="1" applyBorder="1" applyAlignment="1">
      <alignment vertical="top" wrapText="1"/>
    </xf>
    <xf numFmtId="0" fontId="4" fillId="3" borderId="5" xfId="0" applyFont="1" applyFill="1" applyBorder="1" applyAlignment="1">
      <alignment wrapText="1"/>
    </xf>
    <xf numFmtId="0" fontId="4" fillId="3" borderId="5" xfId="0" applyFont="1" applyFill="1" applyBorder="1" applyAlignment="1">
      <alignment vertical="center"/>
    </xf>
    <xf numFmtId="0" fontId="5" fillId="0" borderId="5" xfId="0" applyFont="1" applyBorder="1" applyAlignment="1"/>
    <xf numFmtId="0" fontId="1" fillId="3" borderId="6" xfId="0" applyFont="1" applyFill="1" applyBorder="1" applyAlignment="1">
      <alignment horizontal="right" vertical="top" wrapText="1"/>
    </xf>
    <xf numFmtId="0" fontId="1" fillId="3" borderId="6" xfId="0" applyFont="1" applyFill="1" applyBorder="1" applyAlignment="1">
      <alignment vertical="top" wrapText="1"/>
    </xf>
    <xf numFmtId="0" fontId="4" fillId="3" borderId="6" xfId="0" applyFont="1" applyFill="1" applyBorder="1" applyAlignment="1">
      <alignment wrapText="1"/>
    </xf>
    <xf numFmtId="0" fontId="4" fillId="3" borderId="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1"/>
  <sheetViews>
    <sheetView workbookViewId="0">
      <selection activeCell="E1" sqref="E1"/>
    </sheetView>
  </sheetViews>
  <sheetFormatPr defaultColWidth="12.59765625" defaultRowHeight="15" customHeight="1"/>
  <cols>
    <col min="1" max="3" width="7.59765625" customWidth="1"/>
    <col min="4" max="4" width="60.19921875" customWidth="1"/>
    <col min="5" max="26" width="7.59765625" customWidth="1"/>
  </cols>
  <sheetData>
    <row r="1" spans="1:5" ht="143.4">
      <c r="A1" s="1">
        <v>2084315794</v>
      </c>
      <c r="B1" s="2" t="s">
        <v>0</v>
      </c>
      <c r="C1" s="2" t="s">
        <v>1</v>
      </c>
      <c r="D1" s="3" t="str">
        <f ca="1">IFERROR(__xludf.DUMMYFUNCTION("GOOGLETRANSLATE(B1,""ja"",""vi"")"),"Nintendo cơ thể chuyển đổi")</f>
        <v>Nintendo cơ thể chuyển đổi</v>
      </c>
      <c r="E1" t="str">
        <f ca="1">CONCATENATE(CHAR(34)&amp;"",A1,""&amp;CHAR(34)," : ", CHAR(34)&amp;"",D1,""&amp;CHAR(34),",")</f>
        <v>"2084315794" : "Nintendo cơ thể chuyển đổi",</v>
      </c>
    </row>
    <row r="2" spans="1:5" ht="153.6">
      <c r="A2" s="4">
        <v>2084315795</v>
      </c>
      <c r="B2" s="5" t="s">
        <v>2</v>
      </c>
      <c r="C2" s="5" t="s">
        <v>3</v>
      </c>
      <c r="D2" s="3" t="str">
        <f ca="1">IFERROR(__xludf.DUMMYFUNCTION("GOOGLETRANSLATE(B2,""ja"",""vi"")"),"Nintendo phần mềm chuyển đổi")</f>
        <v>Nintendo phần mềm chuyển đổi</v>
      </c>
      <c r="E2" t="str">
        <f t="shared" ref="E2:E65" ca="1" si="0">CONCATENATE(CHAR(34)&amp;"",A2,""&amp;CHAR(34)," : ", CHAR(34)&amp;"",D2,""&amp;CHAR(34),",")</f>
        <v>"2084315795" : "Nintendo phần mềm chuyển đổi",</v>
      </c>
    </row>
    <row r="3" spans="1:5" ht="102.6">
      <c r="A3" s="4">
        <v>2084315796</v>
      </c>
      <c r="B3" s="5" t="s">
        <v>4</v>
      </c>
      <c r="C3" s="5" t="s">
        <v>5</v>
      </c>
      <c r="D3" s="3" t="str">
        <f ca="1">IFERROR(__xludf.DUMMYFUNCTION("GOOGLETRANSLATE(B3,""ja"",""vi"")"),"Nintendo phụ kiện chuyển đổi")</f>
        <v>Nintendo phụ kiện chuyển đổi</v>
      </c>
      <c r="E3" t="str">
        <f t="shared" ca="1" si="0"/>
        <v>"2084315796" : "Nintendo phụ kiện chuyển đổi",</v>
      </c>
    </row>
    <row r="4" spans="1:5" ht="163.80000000000001">
      <c r="A4" s="6">
        <v>2084315792</v>
      </c>
      <c r="B4" s="7" t="s">
        <v>6</v>
      </c>
      <c r="C4" s="7" t="s">
        <v>7</v>
      </c>
      <c r="D4" s="3" t="str">
        <f ca="1">IFERROR(__xludf.DUMMYFUNCTION("GOOGLETRANSLATE(B4,""ja"",""vi"")"),"Nintendo cổ điển nhỏ cơ thể")</f>
        <v>Nintendo cổ điển nhỏ cơ thể</v>
      </c>
      <c r="E4" t="str">
        <f t="shared" ca="1" si="0"/>
        <v>"2084315792" : "Nintendo cổ điển nhỏ cơ thể",</v>
      </c>
    </row>
    <row r="5" spans="1:5" ht="174">
      <c r="A5" s="6">
        <v>2084315797</v>
      </c>
      <c r="B5" s="7" t="s">
        <v>8</v>
      </c>
      <c r="C5" s="7" t="s">
        <v>9</v>
      </c>
      <c r="D5" s="3" t="str">
        <f ca="1">IFERROR(__xludf.DUMMYFUNCTION("GOOGLETRANSLATE(B5,""ja"",""vi"")"),"Nintendo phụ kiện nhỏ cổ điển")</f>
        <v>Nintendo phụ kiện nhỏ cổ điển</v>
      </c>
      <c r="E5" t="str">
        <f t="shared" ca="1" si="0"/>
        <v>"2084315797" : "Nintendo phụ kiện nhỏ cổ điển",</v>
      </c>
    </row>
    <row r="6" spans="1:5" ht="143.4">
      <c r="A6" s="6">
        <v>2084310047</v>
      </c>
      <c r="B6" s="7" t="s">
        <v>10</v>
      </c>
      <c r="C6" s="7" t="s">
        <v>11</v>
      </c>
      <c r="D6" s="3" t="str">
        <f ca="1">IFERROR(__xludf.DUMMYFUNCTION("GOOGLETRANSLATE(B6,""ja"",""vi"")"),"Nintendo 3DS LL cơ thể")</f>
        <v>Nintendo 3DS LL cơ thể</v>
      </c>
      <c r="E6" t="str">
        <f t="shared" ca="1" si="0"/>
        <v>"2084310047" : "Nintendo 3DS LL cơ thể",</v>
      </c>
    </row>
    <row r="7" spans="1:5" ht="143.4">
      <c r="A7" s="6">
        <v>2084290227</v>
      </c>
      <c r="B7" s="7" t="s">
        <v>12</v>
      </c>
      <c r="C7" s="7" t="s">
        <v>13</v>
      </c>
      <c r="D7" s="3" t="str">
        <f ca="1">IFERROR(__xludf.DUMMYFUNCTION("GOOGLETRANSLATE(B7,""ja"",""vi"")"),"Nintendo 3DS cơ thể")</f>
        <v>Nintendo 3DS cơ thể</v>
      </c>
      <c r="E7" t="str">
        <f t="shared" ca="1" si="0"/>
        <v>"2084290227" : "Nintendo 3DS cơ thể",</v>
      </c>
    </row>
    <row r="8" spans="1:5" ht="153.6">
      <c r="A8" s="6">
        <v>2084290228</v>
      </c>
      <c r="B8" s="7" t="s">
        <v>14</v>
      </c>
      <c r="C8" s="7" t="s">
        <v>15</v>
      </c>
      <c r="D8" s="3" t="str">
        <f ca="1">IFERROR(__xludf.DUMMYFUNCTION("GOOGLETRANSLATE(B8,""ja"",""vi"")"),"Nintendo 3DS phần mềm chuyên dụng")</f>
        <v>Nintendo 3DS phần mềm chuyên dụng</v>
      </c>
      <c r="E8" t="str">
        <f t="shared" ca="1" si="0"/>
        <v>"2084290228" : "Nintendo 3DS phần mềm chuyên dụng",</v>
      </c>
    </row>
    <row r="9" spans="1:5" ht="143.4">
      <c r="A9" s="6">
        <v>2084056541</v>
      </c>
      <c r="B9" s="7" t="s">
        <v>16</v>
      </c>
      <c r="C9" s="7" t="s">
        <v>17</v>
      </c>
      <c r="D9" s="3" t="str">
        <f ca="1">IFERROR(__xludf.DUMMYFUNCTION("GOOGLETRANSLATE(B9,""ja"",""vi"")"),"Phần mềm cho Nintendo DS")</f>
        <v>Phần mềm cho Nintendo DS</v>
      </c>
      <c r="E9" t="str">
        <f t="shared" ca="1" si="0"/>
        <v>"2084056541" : "Phần mềm cho Nintendo DS",</v>
      </c>
    </row>
    <row r="10" spans="1:5" ht="143.4">
      <c r="A10" s="6">
        <v>2084290230</v>
      </c>
      <c r="B10" s="7" t="s">
        <v>18</v>
      </c>
      <c r="C10" s="7" t="s">
        <v>19</v>
      </c>
      <c r="D10" s="3" t="str">
        <f ca="1">IFERROR(__xludf.DUMMYFUNCTION("GOOGLETRANSLATE(B10,""ja"",""vi"")"),"Phụ kiện, thiết bị ngoại vi")</f>
        <v>Phụ kiện, thiết bị ngoại vi</v>
      </c>
      <c r="E10" t="str">
        <f t="shared" ca="1" si="0"/>
        <v>"2084290230" : "Phụ kiện, thiết bị ngoại vi",</v>
      </c>
    </row>
    <row r="11" spans="1:5" ht="133.19999999999999">
      <c r="A11" s="6">
        <v>2084056540</v>
      </c>
      <c r="B11" s="7" t="s">
        <v>20</v>
      </c>
      <c r="C11" s="7" t="s">
        <v>21</v>
      </c>
      <c r="D11" s="3" t="str">
        <f ca="1">IFERROR(__xludf.DUMMYFUNCTION("GOOGLETRANSLATE(B11,""ja"",""vi"")"),"Nintendo DS cơ thể")</f>
        <v>Nintendo DS cơ thể</v>
      </c>
      <c r="E11" t="str">
        <f t="shared" ca="1" si="0"/>
        <v>"2084056540" : "Nintendo DS cơ thể",</v>
      </c>
    </row>
    <row r="12" spans="1:5" ht="133.19999999999999">
      <c r="A12" s="6">
        <v>2084056541</v>
      </c>
      <c r="B12" s="7" t="s">
        <v>22</v>
      </c>
      <c r="C12" s="7" t="s">
        <v>23</v>
      </c>
      <c r="D12" s="3" t="str">
        <f ca="1">IFERROR(__xludf.DUMMYFUNCTION("GOOGLETRANSLATE(B12,""ja"",""vi"")"),"phần mềm Nintendo DS")</f>
        <v>phần mềm Nintendo DS</v>
      </c>
      <c r="E12" t="str">
        <f t="shared" ca="1" si="0"/>
        <v>"2084056541" : "phần mềm Nintendo DS",</v>
      </c>
    </row>
    <row r="13" spans="1:5" ht="133.19999999999999">
      <c r="A13" s="6">
        <v>2084056542</v>
      </c>
      <c r="B13" s="7" t="s">
        <v>18</v>
      </c>
      <c r="C13" s="7" t="s">
        <v>24</v>
      </c>
      <c r="D13" s="3" t="str">
        <f ca="1">IFERROR(__xludf.DUMMYFUNCTION("GOOGLETRANSLATE(B13,""ja"",""vi"")"),"Phụ kiện, thiết bị ngoại vi")</f>
        <v>Phụ kiện, thiết bị ngoại vi</v>
      </c>
      <c r="E13" t="str">
        <f t="shared" ca="1" si="0"/>
        <v>"2084056542" : "Phụ kiện, thiết bị ngoại vi",</v>
      </c>
    </row>
    <row r="14" spans="1:5" ht="102.6">
      <c r="A14" s="6">
        <v>2084310046</v>
      </c>
      <c r="B14" s="7" t="s">
        <v>25</v>
      </c>
      <c r="C14" s="7" t="s">
        <v>26</v>
      </c>
      <c r="D14" s="3" t="str">
        <f ca="1">IFERROR(__xludf.DUMMYFUNCTION("GOOGLETRANSLATE(B14,""ja"",""vi"")"),"Wii U cơ thể")</f>
        <v>Wii U cơ thể</v>
      </c>
      <c r="E14" t="str">
        <f t="shared" ca="1" si="0"/>
        <v>"2084310046" : "Wii U cơ thể",</v>
      </c>
    </row>
    <row r="15" spans="1:5" ht="123">
      <c r="A15" s="6">
        <v>2084310053</v>
      </c>
      <c r="B15" s="7" t="s">
        <v>27</v>
      </c>
      <c r="C15" s="7" t="s">
        <v>28</v>
      </c>
      <c r="D15" s="3" t="str">
        <f ca="1">IFERROR(__xludf.DUMMYFUNCTION("GOOGLETRANSLATE(B15,""ja"",""vi"")"),"Wii U phần mềm chuyên dụng")</f>
        <v>Wii U phần mềm chuyên dụng</v>
      </c>
      <c r="E15" t="str">
        <f t="shared" ca="1" si="0"/>
        <v>"2084310053" : "Wii U phần mềm chuyên dụng",</v>
      </c>
    </row>
    <row r="16" spans="1:5" ht="112.8">
      <c r="A16" s="6">
        <v>2084217066</v>
      </c>
      <c r="B16" s="7" t="s">
        <v>29</v>
      </c>
      <c r="C16" s="7" t="s">
        <v>30</v>
      </c>
      <c r="D16" s="3" t="str">
        <f ca="1">IFERROR(__xludf.DUMMYFUNCTION("GOOGLETRANSLATE(B16,""ja"",""vi"")"),"Phần mềm cho Wii")</f>
        <v>Phần mềm cho Wii</v>
      </c>
      <c r="E16" t="str">
        <f t="shared" ca="1" si="0"/>
        <v>"2084217066" : "Phần mềm cho Wii",</v>
      </c>
    </row>
    <row r="17" spans="1:5" ht="123">
      <c r="A17" s="6">
        <v>2084310054</v>
      </c>
      <c r="B17" s="7" t="s">
        <v>18</v>
      </c>
      <c r="C17" s="7" t="s">
        <v>31</v>
      </c>
      <c r="D17" s="3" t="str">
        <f ca="1">IFERROR(__xludf.DUMMYFUNCTION("GOOGLETRANSLATE(B17,""ja"",""vi"")"),"Phụ kiện, thiết bị ngoại vi")</f>
        <v>Phụ kiện, thiết bị ngoại vi</v>
      </c>
      <c r="E17" t="str">
        <f t="shared" ca="1" si="0"/>
        <v>"2084310054" : "Phụ kiện, thiết bị ngoại vi",</v>
      </c>
    </row>
    <row r="18" spans="1:5" ht="102.6">
      <c r="A18" s="6">
        <v>2084217068</v>
      </c>
      <c r="B18" s="7" t="s">
        <v>32</v>
      </c>
      <c r="C18" s="7" t="s">
        <v>33</v>
      </c>
      <c r="D18" s="3" t="str">
        <f ca="1">IFERROR(__xludf.DUMMYFUNCTION("GOOGLETRANSLATE(B18,""ja"",""vi"")"),"Wii cơ thể")</f>
        <v>Wii cơ thể</v>
      </c>
      <c r="E18" t="str">
        <f t="shared" ca="1" si="0"/>
        <v>"2084217068" : "Wii cơ thể",</v>
      </c>
    </row>
    <row r="19" spans="1:5" ht="112.8">
      <c r="A19" s="6">
        <v>2084217066</v>
      </c>
      <c r="B19" s="7" t="s">
        <v>34</v>
      </c>
      <c r="C19" s="7" t="s">
        <v>35</v>
      </c>
      <c r="D19" s="3" t="str">
        <f ca="1">IFERROR(__xludf.DUMMYFUNCTION("GOOGLETRANSLATE(B19,""ja"",""vi"")"),"phần mềm Wii")</f>
        <v>phần mềm Wii</v>
      </c>
      <c r="E19" t="str">
        <f t="shared" ca="1" si="0"/>
        <v>"2084217066" : "phần mềm Wii",</v>
      </c>
    </row>
    <row r="20" spans="1:5" ht="123">
      <c r="A20" s="6">
        <v>2084217065</v>
      </c>
      <c r="B20" s="7" t="s">
        <v>18</v>
      </c>
      <c r="C20" s="7" t="s">
        <v>36</v>
      </c>
      <c r="D20" s="3" t="str">
        <f ca="1">IFERROR(__xludf.DUMMYFUNCTION("GOOGLETRANSLATE(B20,""ja"",""vi"")"),"Phụ kiện, thiết bị ngoại vi")</f>
        <v>Phụ kiện, thiết bị ngoại vi</v>
      </c>
      <c r="E20" t="str">
        <f t="shared" ca="1" si="0"/>
        <v>"2084217065" : "Phụ kiện, thiết bị ngoại vi",</v>
      </c>
    </row>
    <row r="21" spans="1:5" ht="15.75" customHeight="1">
      <c r="A21" s="6">
        <v>2084301278</v>
      </c>
      <c r="B21" s="7" t="s">
        <v>37</v>
      </c>
      <c r="C21" s="7" t="s">
        <v>38</v>
      </c>
      <c r="D21" s="3" t="str">
        <f ca="1">IFERROR(__xludf.DUMMYFUNCTION("GOOGLETRANSLATE(B21,""ja"",""vi"")"),"PS Vita cơ thể")</f>
        <v>PS Vita cơ thể</v>
      </c>
      <c r="E21" t="str">
        <f t="shared" ca="1" si="0"/>
        <v>"2084301278" : "PS Vita cơ thể",</v>
      </c>
    </row>
    <row r="22" spans="1:5" ht="15.75" customHeight="1">
      <c r="A22" s="6">
        <v>2084301279</v>
      </c>
      <c r="B22" s="7" t="s">
        <v>39</v>
      </c>
      <c r="C22" s="7" t="s">
        <v>40</v>
      </c>
      <c r="D22" s="3" t="str">
        <f ca="1">IFERROR(__xludf.DUMMYFUNCTION("GOOGLETRANSLATE(B22,""ja"",""vi"")"),"phần mềm PS Vita")</f>
        <v>phần mềm PS Vita</v>
      </c>
      <c r="E22" t="str">
        <f t="shared" ca="1" si="0"/>
        <v>"2084301279" : "phần mềm PS Vita",</v>
      </c>
    </row>
    <row r="23" spans="1:5" ht="15.75" customHeight="1">
      <c r="A23" s="6">
        <v>2084301280</v>
      </c>
      <c r="B23" s="7" t="s">
        <v>41</v>
      </c>
      <c r="C23" s="7" t="s">
        <v>42</v>
      </c>
      <c r="D23" s="3" t="str">
        <f ca="1">IFERROR(__xludf.DUMMYFUNCTION("GOOGLETRANSLATE(B23,""ja"",""vi"")"),"Phụ kiện, thiết bị ngoại vi")</f>
        <v>Phụ kiện, thiết bị ngoại vi</v>
      </c>
      <c r="E23" t="str">
        <f t="shared" ca="1" si="0"/>
        <v>"2084301280" : "Phụ kiện, thiết bị ngoại vi",</v>
      </c>
    </row>
    <row r="24" spans="1:5" ht="15.75" customHeight="1">
      <c r="A24" s="6">
        <v>2084057110</v>
      </c>
      <c r="B24" s="7" t="s">
        <v>43</v>
      </c>
      <c r="C24" s="7" t="s">
        <v>44</v>
      </c>
      <c r="D24" s="3" t="str">
        <f ca="1">IFERROR(__xludf.DUMMYFUNCTION("GOOGLETRANSLATE(B24,""ja"",""vi"")"),"PSP cơ thể")</f>
        <v>PSP cơ thể</v>
      </c>
      <c r="E24" t="str">
        <f t="shared" ca="1" si="0"/>
        <v>"2084057110" : "PSP cơ thể",</v>
      </c>
    </row>
    <row r="25" spans="1:5" ht="15.75" customHeight="1">
      <c r="A25" s="6">
        <v>2084057111</v>
      </c>
      <c r="B25" s="7" t="s">
        <v>45</v>
      </c>
      <c r="C25" s="7" t="s">
        <v>46</v>
      </c>
      <c r="D25" s="3" t="str">
        <f ca="1">IFERROR(__xludf.DUMMYFUNCTION("GOOGLETRANSLATE(B25,""ja"",""vi"")"),"phần mềm PSP")</f>
        <v>phần mềm PSP</v>
      </c>
      <c r="E25" t="str">
        <f t="shared" ca="1" si="0"/>
        <v>"2084057111" : "phần mềm PSP",</v>
      </c>
    </row>
    <row r="26" spans="1:5" ht="15.75" customHeight="1">
      <c r="A26" s="6">
        <v>2084057112</v>
      </c>
      <c r="B26" s="7" t="s">
        <v>18</v>
      </c>
      <c r="C26" s="7" t="s">
        <v>47</v>
      </c>
      <c r="D26" s="3" t="str">
        <f ca="1">IFERROR(__xludf.DUMMYFUNCTION("GOOGLETRANSLATE(B26,""ja"",""vi"")"),"Phụ kiện, thiết bị ngoại vi")</f>
        <v>Phụ kiện, thiết bị ngoại vi</v>
      </c>
      <c r="E26" t="str">
        <f t="shared" ca="1" si="0"/>
        <v>"2084057112" : "Phụ kiện, thiết bị ngoại vi",</v>
      </c>
    </row>
    <row r="27" spans="1:5" ht="15.75" customHeight="1">
      <c r="A27" s="6">
        <v>2084313827</v>
      </c>
      <c r="B27" s="7" t="s">
        <v>48</v>
      </c>
      <c r="C27" s="7" t="s">
        <v>49</v>
      </c>
      <c r="D27" s="3" t="str">
        <f ca="1">IFERROR(__xludf.DUMMYFUNCTION("GOOGLETRANSLATE(B27,""ja"",""vi"")"),"PS4 cơ thể")</f>
        <v>PS4 cơ thể</v>
      </c>
      <c r="E27" t="str">
        <f t="shared" ca="1" si="0"/>
        <v>"2084313827" : "PS4 cơ thể",</v>
      </c>
    </row>
    <row r="28" spans="1:5" ht="15.75" customHeight="1">
      <c r="A28" s="6">
        <v>2084313828</v>
      </c>
      <c r="B28" s="7" t="s">
        <v>50</v>
      </c>
      <c r="C28" s="7" t="s">
        <v>51</v>
      </c>
      <c r="D28" s="3" t="str">
        <f ca="1">IFERROR(__xludf.DUMMYFUNCTION("GOOGLETRANSLATE(B28,""ja"",""vi"")"),"phần mềm PS4")</f>
        <v>phần mềm PS4</v>
      </c>
      <c r="E28" t="str">
        <f t="shared" ca="1" si="0"/>
        <v>"2084313828" : "phần mềm PS4",</v>
      </c>
    </row>
    <row r="29" spans="1:5" ht="15.75" customHeight="1">
      <c r="A29" s="6">
        <v>2084315790</v>
      </c>
      <c r="B29" s="7" t="s">
        <v>52</v>
      </c>
      <c r="C29" s="7" t="s">
        <v>53</v>
      </c>
      <c r="D29" s="3" t="str">
        <f ca="1">IFERROR(__xludf.DUMMYFUNCTION("GOOGLETRANSLATE(B29,""ja"",""vi"")"),"PSVR")</f>
        <v>PSVR</v>
      </c>
      <c r="E29" t="str">
        <f t="shared" ca="1" si="0"/>
        <v>"2084315790" : "PSVR",</v>
      </c>
    </row>
    <row r="30" spans="1:5" ht="15.75" customHeight="1">
      <c r="A30" s="6">
        <v>2084313829</v>
      </c>
      <c r="B30" s="7" t="s">
        <v>18</v>
      </c>
      <c r="C30" s="7" t="s">
        <v>54</v>
      </c>
      <c r="D30" s="3" t="str">
        <f ca="1">IFERROR(__xludf.DUMMYFUNCTION("GOOGLETRANSLATE(B30,""ja"",""vi"")"),"Phụ kiện, thiết bị ngoại vi")</f>
        <v>Phụ kiện, thiết bị ngoại vi</v>
      </c>
      <c r="E30" t="str">
        <f t="shared" ca="1" si="0"/>
        <v>"2084313829" : "Phụ kiện, thiết bị ngoại vi",</v>
      </c>
    </row>
    <row r="31" spans="1:5" ht="15.75" customHeight="1">
      <c r="A31" s="6">
        <v>2084216437</v>
      </c>
      <c r="B31" s="7" t="s">
        <v>55</v>
      </c>
      <c r="C31" s="7" t="s">
        <v>56</v>
      </c>
      <c r="D31" s="3" t="str">
        <f ca="1">IFERROR(__xludf.DUMMYFUNCTION("GOOGLETRANSLATE(B31,""ja"",""vi"")"),"PS3 cơ thể")</f>
        <v>PS3 cơ thể</v>
      </c>
      <c r="E31" t="str">
        <f t="shared" ca="1" si="0"/>
        <v>"2084216437" : "PS3 cơ thể",</v>
      </c>
    </row>
    <row r="32" spans="1:5" ht="15.75" customHeight="1">
      <c r="A32" s="6">
        <v>2084216438</v>
      </c>
      <c r="B32" s="7" t="s">
        <v>57</v>
      </c>
      <c r="C32" s="7" t="s">
        <v>58</v>
      </c>
      <c r="D32" s="3" t="str">
        <f ca="1">IFERROR(__xludf.DUMMYFUNCTION("GOOGLETRANSLATE(B32,""ja"",""vi"")"),"phần mềm PS3")</f>
        <v>phần mềm PS3</v>
      </c>
      <c r="E32" t="str">
        <f t="shared" ca="1" si="0"/>
        <v>"2084216438" : "phần mềm PS3",</v>
      </c>
    </row>
    <row r="33" spans="1:5" ht="15.75" customHeight="1">
      <c r="A33" s="6">
        <v>2084216436</v>
      </c>
      <c r="B33" s="7" t="s">
        <v>18</v>
      </c>
      <c r="C33" s="7" t="s">
        <v>59</v>
      </c>
      <c r="D33" s="3" t="str">
        <f ca="1">IFERROR(__xludf.DUMMYFUNCTION("GOOGLETRANSLATE(B33,""ja"",""vi"")"),"Phụ kiện, thiết bị ngoại vi")</f>
        <v>Phụ kiện, thiết bị ngoại vi</v>
      </c>
      <c r="E33" t="str">
        <f t="shared" ca="1" si="0"/>
        <v>"2084216436" : "Phụ kiện, thiết bị ngoại vi",</v>
      </c>
    </row>
    <row r="34" spans="1:5" ht="15.75" customHeight="1">
      <c r="A34" s="6">
        <v>2084006669</v>
      </c>
      <c r="B34" s="7" t="s">
        <v>60</v>
      </c>
      <c r="C34" s="7" t="s">
        <v>61</v>
      </c>
      <c r="D34" s="3" t="str">
        <f ca="1">IFERROR(__xludf.DUMMYFUNCTION("GOOGLETRANSLATE(B34,""ja"",""vi"")"),"Tiêu đề")</f>
        <v>Tiêu đề</v>
      </c>
      <c r="E34" t="str">
        <f t="shared" ca="1" si="0"/>
        <v>"2084006669" : "Tiêu đề",</v>
      </c>
    </row>
    <row r="35" spans="1:5" ht="15.75" customHeight="1">
      <c r="A35" s="6">
        <v>2084006670</v>
      </c>
      <c r="B35" s="7" t="s">
        <v>62</v>
      </c>
      <c r="C35" s="7" t="s">
        <v>63</v>
      </c>
      <c r="D35" s="3" t="str">
        <f ca="1">IFERROR(__xludf.DUMMYFUNCTION("GOOGLETRANSLATE(B35,""ja"",""vi"")"),"Cơ thể, phụ kiện")</f>
        <v>Cơ thể, phụ kiện</v>
      </c>
      <c r="E35" t="str">
        <f t="shared" ca="1" si="0"/>
        <v>"2084006670" : "Cơ thể, phụ kiện",</v>
      </c>
    </row>
    <row r="36" spans="1:5" ht="15.75" customHeight="1">
      <c r="A36" s="6">
        <v>2084314665</v>
      </c>
      <c r="B36" s="7" t="s">
        <v>64</v>
      </c>
      <c r="C36" s="7" t="s">
        <v>65</v>
      </c>
      <c r="D36" s="3" t="str">
        <f ca="1">IFERROR(__xludf.DUMMYFUNCTION("GOOGLETRANSLATE(B36,""ja"",""vi"")"),"Xbox One cơ thể")</f>
        <v>Xbox One cơ thể</v>
      </c>
      <c r="E36" t="str">
        <f t="shared" ca="1" si="0"/>
        <v>"2084314665" : "Xbox One cơ thể",</v>
      </c>
    </row>
    <row r="37" spans="1:5" ht="15.75" customHeight="1">
      <c r="A37" s="6">
        <v>2084314666</v>
      </c>
      <c r="B37" s="7" t="s">
        <v>66</v>
      </c>
      <c r="C37" s="7" t="s">
        <v>67</v>
      </c>
      <c r="D37" s="3" t="str">
        <f ca="1">IFERROR(__xludf.DUMMYFUNCTION("GOOGLETRANSLATE(B37,""ja"",""vi"")"),"phần mềm Xbox One")</f>
        <v>phần mềm Xbox One</v>
      </c>
      <c r="E37" t="str">
        <f t="shared" ca="1" si="0"/>
        <v>"2084314666" : "phần mềm Xbox One",</v>
      </c>
    </row>
    <row r="38" spans="1:5" ht="15.75" customHeight="1">
      <c r="A38" s="6">
        <v>2084314667</v>
      </c>
      <c r="B38" s="7" t="s">
        <v>18</v>
      </c>
      <c r="C38" s="7" t="s">
        <v>68</v>
      </c>
      <c r="D38" s="3" t="str">
        <f ca="1">IFERROR(__xludf.DUMMYFUNCTION("GOOGLETRANSLATE(B38,""ja"",""vi"")"),"Phụ kiện, thiết bị ngoại vi")</f>
        <v>Phụ kiện, thiết bị ngoại vi</v>
      </c>
      <c r="E38" t="str">
        <f t="shared" ca="1" si="0"/>
        <v>"2084314667" : "Phụ kiện, thiết bị ngoại vi",</v>
      </c>
    </row>
    <row r="39" spans="1:5" ht="15.75" customHeight="1">
      <c r="A39" s="6">
        <v>2084235549</v>
      </c>
      <c r="B39" s="7" t="s">
        <v>69</v>
      </c>
      <c r="C39" s="7" t="s">
        <v>70</v>
      </c>
      <c r="D39" s="3" t="str">
        <f ca="1">IFERROR(__xludf.DUMMYFUNCTION("GOOGLETRANSLATE(B39,""ja"",""vi"")"),"Xbox360 cơ thể")</f>
        <v>Xbox360 cơ thể</v>
      </c>
      <c r="E39" t="str">
        <f t="shared" ca="1" si="0"/>
        <v>"2084235549" : "Xbox360 cơ thể",</v>
      </c>
    </row>
    <row r="40" spans="1:5" ht="15.75" customHeight="1">
      <c r="A40" s="6">
        <v>2084235548</v>
      </c>
      <c r="B40" s="7" t="s">
        <v>71</v>
      </c>
      <c r="C40" s="7" t="s">
        <v>72</v>
      </c>
      <c r="D40" s="3" t="str">
        <f ca="1">IFERROR(__xludf.DUMMYFUNCTION("GOOGLETRANSLATE(B40,""ja"",""vi"")"),"phần mềm Xbox360")</f>
        <v>phần mềm Xbox360</v>
      </c>
      <c r="E40" t="str">
        <f t="shared" ca="1" si="0"/>
        <v>"2084235548" : "phần mềm Xbox360",</v>
      </c>
    </row>
    <row r="41" spans="1:5" ht="15.75" customHeight="1">
      <c r="A41" s="6">
        <v>2084235547</v>
      </c>
      <c r="B41" s="7" t="s">
        <v>18</v>
      </c>
      <c r="C41" s="7" t="s">
        <v>73</v>
      </c>
      <c r="D41" s="3" t="str">
        <f ca="1">IFERROR(__xludf.DUMMYFUNCTION("GOOGLETRANSLATE(B41,""ja"",""vi"")"),"Phụ kiện, thiết bị ngoại vi")</f>
        <v>Phụ kiện, thiết bị ngoại vi</v>
      </c>
      <c r="E41" t="str">
        <f t="shared" ca="1" si="0"/>
        <v>"2084235547" : "Phụ kiện, thiết bị ngoại vi",</v>
      </c>
    </row>
    <row r="42" spans="1:5" ht="15.75" customHeight="1">
      <c r="A42" s="6">
        <v>2084041574</v>
      </c>
      <c r="B42" s="7" t="s">
        <v>74</v>
      </c>
      <c r="C42" s="7" t="s">
        <v>75</v>
      </c>
      <c r="D42" s="3" t="str">
        <f ca="1">IFERROR(__xludf.DUMMYFUNCTION("GOOGLETRANSLATE(B42,""ja"",""vi"")"),"Một cơ thể")</f>
        <v>Một cơ thể</v>
      </c>
      <c r="E42" t="str">
        <f t="shared" ca="1" si="0"/>
        <v>"2084041574" : "Một cơ thể",</v>
      </c>
    </row>
    <row r="43" spans="1:5" ht="15.75" customHeight="1">
      <c r="A43" s="6">
        <v>26830</v>
      </c>
      <c r="B43" s="7" t="s">
        <v>60</v>
      </c>
      <c r="C43" s="7" t="s">
        <v>76</v>
      </c>
      <c r="D43" s="3" t="str">
        <f ca="1">IFERROR(__xludf.DUMMYFUNCTION("GOOGLETRANSLATE(B43,""ja"",""vi"")"),"Tiêu đề")</f>
        <v>Tiêu đề</v>
      </c>
      <c r="E43" t="str">
        <f t="shared" ca="1" si="0"/>
        <v>"26830" : "Tiêu đề",</v>
      </c>
    </row>
    <row r="44" spans="1:5" ht="15.75" customHeight="1">
      <c r="A44" s="6">
        <v>26844</v>
      </c>
      <c r="B44" s="7" t="s">
        <v>41</v>
      </c>
      <c r="C44" s="7" t="s">
        <v>77</v>
      </c>
      <c r="D44" s="3" t="str">
        <f ca="1">IFERROR(__xludf.DUMMYFUNCTION("GOOGLETRANSLATE(B44,""ja"",""vi"")"),"Phụ kiện, thiết bị ngoại vi")</f>
        <v>Phụ kiện, thiết bị ngoại vi</v>
      </c>
      <c r="E44" t="str">
        <f t="shared" ca="1" si="0"/>
        <v>"26844" : "Phụ kiện, thiết bị ngoại vi",</v>
      </c>
    </row>
    <row r="45" spans="1:5" ht="15.75" customHeight="1">
      <c r="A45" s="6">
        <v>2084041581</v>
      </c>
      <c r="B45" s="7" t="s">
        <v>74</v>
      </c>
      <c r="C45" s="7" t="s">
        <v>78</v>
      </c>
      <c r="D45" s="3" t="str">
        <f ca="1">IFERROR(__xludf.DUMMYFUNCTION("GOOGLETRANSLATE(B45,""ja"",""vi"")"),"Một cơ thể")</f>
        <v>Một cơ thể</v>
      </c>
      <c r="E45" t="str">
        <f t="shared" ca="1" si="0"/>
        <v>"2084041581" : "Một cơ thể",</v>
      </c>
    </row>
    <row r="46" spans="1:5" ht="15.75" customHeight="1">
      <c r="A46" s="6">
        <v>2084041582</v>
      </c>
      <c r="B46" s="7" t="s">
        <v>60</v>
      </c>
      <c r="C46" s="7" t="s">
        <v>79</v>
      </c>
      <c r="D46" s="3" t="str">
        <f ca="1">IFERROR(__xludf.DUMMYFUNCTION("GOOGLETRANSLATE(B46,""ja"",""vi"")"),"Tiêu đề")</f>
        <v>Tiêu đề</v>
      </c>
      <c r="E46" t="str">
        <f t="shared" ca="1" si="0"/>
        <v>"2084041582" : "Tiêu đề",</v>
      </c>
    </row>
    <row r="47" spans="1:5" ht="15.75" customHeight="1">
      <c r="A47" s="6">
        <v>2084041583</v>
      </c>
      <c r="B47" s="7" t="s">
        <v>18</v>
      </c>
      <c r="C47" s="7" t="s">
        <v>80</v>
      </c>
      <c r="D47" s="3" t="str">
        <f ca="1">IFERROR(__xludf.DUMMYFUNCTION("GOOGLETRANSLATE(B47,""ja"",""vi"")"),"Phụ kiện, thiết bị ngoại vi")</f>
        <v>Phụ kiện, thiết bị ngoại vi</v>
      </c>
      <c r="E47" t="str">
        <f t="shared" ca="1" si="0"/>
        <v>"2084041583" : "Phụ kiện, thiết bị ngoại vi",</v>
      </c>
    </row>
    <row r="48" spans="1:5" ht="15.75" customHeight="1">
      <c r="A48" s="6">
        <v>2084063621</v>
      </c>
      <c r="B48" s="7" t="s">
        <v>74</v>
      </c>
      <c r="C48" s="7" t="s">
        <v>81</v>
      </c>
      <c r="D48" s="3" t="str">
        <f ca="1">IFERROR(__xludf.DUMMYFUNCTION("GOOGLETRANSLATE(B48,""ja"",""vi"")"),"Một cơ thể")</f>
        <v>Một cơ thể</v>
      </c>
      <c r="E48" t="str">
        <f t="shared" ca="1" si="0"/>
        <v>"2084063621" : "Một cơ thể",</v>
      </c>
    </row>
    <row r="49" spans="1:5" ht="15.75" customHeight="1">
      <c r="A49" s="6">
        <v>2084041582</v>
      </c>
      <c r="B49" s="7" t="s">
        <v>60</v>
      </c>
      <c r="C49" s="7" t="s">
        <v>82</v>
      </c>
      <c r="D49" s="3" t="str">
        <f ca="1">IFERROR(__xludf.DUMMYFUNCTION("GOOGLETRANSLATE(B49,""ja"",""vi"")"),"Tiêu đề")</f>
        <v>Tiêu đề</v>
      </c>
      <c r="E49" t="str">
        <f t="shared" ca="1" si="0"/>
        <v>"2084041582" : "Tiêu đề",</v>
      </c>
    </row>
    <row r="50" spans="1:5" ht="15.75" customHeight="1">
      <c r="A50" s="6">
        <v>2084063622</v>
      </c>
      <c r="B50" s="7" t="s">
        <v>18</v>
      </c>
      <c r="C50" s="7" t="s">
        <v>83</v>
      </c>
      <c r="D50" s="3" t="str">
        <f ca="1">IFERROR(__xludf.DUMMYFUNCTION("GOOGLETRANSLATE(B50,""ja"",""vi"")"),"Phụ kiện, thiết bị ngoại vi")</f>
        <v>Phụ kiện, thiết bị ngoại vi</v>
      </c>
      <c r="E50" t="str">
        <f t="shared" ca="1" si="0"/>
        <v>"2084063622" : "Phụ kiện, thiết bị ngoại vi",</v>
      </c>
    </row>
    <row r="51" spans="1:5" ht="15.75" customHeight="1">
      <c r="A51" s="6">
        <v>2084005170</v>
      </c>
      <c r="B51" s="7" t="s">
        <v>60</v>
      </c>
      <c r="C51" s="7" t="s">
        <v>84</v>
      </c>
      <c r="D51" s="3" t="str">
        <f ca="1">IFERROR(__xludf.DUMMYFUNCTION("GOOGLETRANSLATE(B51,""ja"",""vi"")"),"Tiêu đề")</f>
        <v>Tiêu đề</v>
      </c>
      <c r="E51" t="str">
        <f t="shared" ca="1" si="0"/>
        <v>"2084005170" : "Tiêu đề",</v>
      </c>
    </row>
    <row r="52" spans="1:5" ht="15.75" customHeight="1">
      <c r="A52" s="6">
        <v>2084005171</v>
      </c>
      <c r="B52" s="7" t="s">
        <v>62</v>
      </c>
      <c r="C52" s="7" t="s">
        <v>85</v>
      </c>
      <c r="D52" s="3" t="str">
        <f ca="1">IFERROR(__xludf.DUMMYFUNCTION("GOOGLETRANSLATE(B52,""ja"",""vi"")"),"Cơ thể, phụ kiện")</f>
        <v>Cơ thể, phụ kiện</v>
      </c>
      <c r="E52" t="str">
        <f t="shared" ca="1" si="0"/>
        <v>"2084005171" : "Cơ thể, phụ kiện",</v>
      </c>
    </row>
    <row r="53" spans="1:5" ht="15.75" customHeight="1">
      <c r="A53" s="6">
        <v>2084005182</v>
      </c>
      <c r="B53" s="7" t="s">
        <v>62</v>
      </c>
      <c r="C53" s="7" t="s">
        <v>86</v>
      </c>
      <c r="D53" s="3" t="str">
        <f ca="1">IFERROR(__xludf.DUMMYFUNCTION("GOOGLETRANSLATE(B53,""ja"",""vi"")"),"Cơ thể, phụ kiện")</f>
        <v>Cơ thể, phụ kiện</v>
      </c>
      <c r="E53" t="str">
        <f t="shared" ca="1" si="0"/>
        <v>"2084005182" : "Cơ thể, phụ kiện",</v>
      </c>
    </row>
    <row r="54" spans="1:5" ht="15.75" customHeight="1">
      <c r="A54" s="6">
        <v>2084005183</v>
      </c>
      <c r="B54" s="7" t="s">
        <v>60</v>
      </c>
      <c r="C54" s="7" t="s">
        <v>87</v>
      </c>
      <c r="D54" s="3" t="str">
        <f ca="1">IFERROR(__xludf.DUMMYFUNCTION("GOOGLETRANSLATE(B54,""ja"",""vi"")"),"Tiêu đề")</f>
        <v>Tiêu đề</v>
      </c>
      <c r="E54" t="str">
        <f t="shared" ca="1" si="0"/>
        <v>"2084005183" : "Tiêu đề",</v>
      </c>
    </row>
    <row r="55" spans="1:5" ht="15.75" customHeight="1">
      <c r="A55" s="6">
        <v>2084005190</v>
      </c>
      <c r="B55" s="7" t="s">
        <v>60</v>
      </c>
      <c r="C55" s="7" t="s">
        <v>88</v>
      </c>
      <c r="D55" s="3" t="str">
        <f ca="1">IFERROR(__xludf.DUMMYFUNCTION("GOOGLETRANSLATE(B55,""ja"",""vi"")"),"Tiêu đề")</f>
        <v>Tiêu đề</v>
      </c>
      <c r="E55" t="str">
        <f t="shared" ca="1" si="0"/>
        <v>"2084005190" : "Tiêu đề",</v>
      </c>
    </row>
    <row r="56" spans="1:5" ht="15.75" customHeight="1">
      <c r="A56" s="6">
        <v>2084005189</v>
      </c>
      <c r="B56" s="7" t="s">
        <v>62</v>
      </c>
      <c r="C56" s="7" t="s">
        <v>89</v>
      </c>
      <c r="D56" s="3" t="str">
        <f ca="1">IFERROR(__xludf.DUMMYFUNCTION("GOOGLETRANSLATE(B56,""ja"",""vi"")"),"Cơ thể, phụ kiện")</f>
        <v>Cơ thể, phụ kiện</v>
      </c>
      <c r="E56" t="str">
        <f t="shared" ca="1" si="0"/>
        <v>"2084005189" : "Cơ thể, phụ kiện",</v>
      </c>
    </row>
    <row r="57" spans="1:5" ht="15.75" customHeight="1">
      <c r="A57" s="6">
        <v>2084047853</v>
      </c>
      <c r="B57" s="7" t="s">
        <v>74</v>
      </c>
      <c r="C57" s="7" t="s">
        <v>90</v>
      </c>
      <c r="D57" s="3" t="str">
        <f ca="1">IFERROR(__xludf.DUMMYFUNCTION("GOOGLETRANSLATE(B57,""ja"",""vi"")"),"Một cơ thể")</f>
        <v>Một cơ thể</v>
      </c>
      <c r="E57" t="str">
        <f t="shared" ca="1" si="0"/>
        <v>"2084047853" : "Một cơ thể",</v>
      </c>
    </row>
    <row r="58" spans="1:5" ht="15.75" customHeight="1">
      <c r="A58" s="6">
        <v>2084047854</v>
      </c>
      <c r="B58" s="7" t="s">
        <v>91</v>
      </c>
      <c r="C58" s="7" t="s">
        <v>92</v>
      </c>
      <c r="D58" s="3" t="str">
        <f ca="1">IFERROR(__xludf.DUMMYFUNCTION("GOOGLETRANSLATE(B58,""ja"",""vi"")"),"phần mềm")</f>
        <v>phần mềm</v>
      </c>
      <c r="E58" t="str">
        <f t="shared" ca="1" si="0"/>
        <v>"2084047854" : "phần mềm",</v>
      </c>
    </row>
    <row r="59" spans="1:5" ht="15.75" customHeight="1">
      <c r="A59" s="6">
        <v>2084047855</v>
      </c>
      <c r="B59" s="7" t="s">
        <v>93</v>
      </c>
      <c r="C59" s="7" t="s">
        <v>94</v>
      </c>
      <c r="D59" s="3" t="str">
        <f ca="1">IFERROR(__xludf.DUMMYFUNCTION("GOOGLETRANSLATE(B59,""ja"",""vi"")"),"chu vi")</f>
        <v>chu vi</v>
      </c>
      <c r="E59" t="str">
        <f t="shared" ca="1" si="0"/>
        <v>"2084047855" : "chu vi",</v>
      </c>
    </row>
    <row r="60" spans="1:5" ht="15.75" customHeight="1">
      <c r="A60" s="6">
        <v>22868</v>
      </c>
      <c r="B60" s="7" t="s">
        <v>95</v>
      </c>
      <c r="C60" s="7" t="s">
        <v>96</v>
      </c>
      <c r="D60" s="3" t="str">
        <f ca="1">IFERROR(__xludf.DUMMYFUNCTION("GOOGLETRANSLATE(B60,""ja"",""vi"")"),"game Gear")</f>
        <v>game Gear</v>
      </c>
      <c r="E60" t="str">
        <f t="shared" ca="1" si="0"/>
        <v>"22868" : "game Gear",</v>
      </c>
    </row>
    <row r="61" spans="1:5" ht="15.75" customHeight="1">
      <c r="A61" s="6">
        <v>40507</v>
      </c>
      <c r="B61" s="7" t="s">
        <v>97</v>
      </c>
      <c r="C61" s="7" t="s">
        <v>98</v>
      </c>
      <c r="D61" s="3" t="str">
        <f ca="1">IFERROR(__xludf.DUMMYFUNCTION("GOOGLETRANSLATE(B61,""ja"",""vi"")"),"sao Thổ")</f>
        <v>sao Thổ</v>
      </c>
      <c r="E61" t="str">
        <f t="shared" ca="1" si="0"/>
        <v>"40507" : "sao Thổ",</v>
      </c>
    </row>
    <row r="62" spans="1:5" ht="15.75" customHeight="1">
      <c r="A62" s="6">
        <v>40506</v>
      </c>
      <c r="B62" s="7" t="s">
        <v>99</v>
      </c>
      <c r="C62" s="7" t="s">
        <v>100</v>
      </c>
      <c r="D62" s="3" t="str">
        <f ca="1">IFERROR(__xludf.DUMMYFUNCTION("GOOGLETRANSLATE(B62,""ja"",""vi"")"),"Dreamcast")</f>
        <v>Dreamcast</v>
      </c>
      <c r="E62" t="str">
        <f t="shared" ca="1" si="0"/>
        <v>"40506" : "Dreamcast",</v>
      </c>
    </row>
    <row r="63" spans="1:5" ht="15.75" customHeight="1">
      <c r="A63" s="6">
        <v>2084045591</v>
      </c>
      <c r="B63" s="7" t="s">
        <v>101</v>
      </c>
      <c r="C63" s="7" t="s">
        <v>102</v>
      </c>
      <c r="D63" s="3" t="str">
        <f ca="1">IFERROR(__xludf.DUMMYFUNCTION("GOOGLETRANSLATE(B63,""ja"",""vi"")"),"Mark III")</f>
        <v>Mark III</v>
      </c>
      <c r="E63" t="str">
        <f t="shared" ca="1" si="0"/>
        <v>"2084045591" : "Mark III",</v>
      </c>
    </row>
    <row r="64" spans="1:5" ht="15.75" customHeight="1">
      <c r="A64" s="6">
        <v>2084005167</v>
      </c>
      <c r="B64" s="7" t="s">
        <v>103</v>
      </c>
      <c r="C64" s="7" t="s">
        <v>104</v>
      </c>
      <c r="D64" s="3" t="str">
        <f ca="1">IFERROR(__xludf.DUMMYFUNCTION("GOOGLETRANSLATE(B64,""ja"",""vi"")"),"Mega Drive")</f>
        <v>Mega Drive</v>
      </c>
      <c r="E64" t="str">
        <f t="shared" ca="1" si="0"/>
        <v>"2084005167" : "Mega Drive",</v>
      </c>
    </row>
    <row r="65" spans="1:5" ht="15.75" customHeight="1">
      <c r="A65" s="6">
        <v>40508</v>
      </c>
      <c r="B65" s="7" t="s">
        <v>105</v>
      </c>
      <c r="C65" s="7" t="s">
        <v>106</v>
      </c>
      <c r="D65" s="3" t="str">
        <f ca="1">IFERROR(__xludf.DUMMYFUNCTION("GOOGLETRANSLATE(B65,""ja"",""vi"")"),"nếu không thì")</f>
        <v>nếu không thì</v>
      </c>
      <c r="E65" t="str">
        <f t="shared" ca="1" si="0"/>
        <v>"40508" : "nếu không thì",</v>
      </c>
    </row>
    <row r="66" spans="1:5" ht="15.75" customHeight="1">
      <c r="A66" s="6">
        <v>2084005533</v>
      </c>
      <c r="B66" s="7" t="s">
        <v>107</v>
      </c>
      <c r="C66" s="7" t="s">
        <v>108</v>
      </c>
      <c r="D66" s="3" t="str">
        <f ca="1">IFERROR(__xludf.DUMMYFUNCTION("GOOGLETRANSLATE(B66,""ja"",""vi"")"),"PC-FX")</f>
        <v>PC-FX</v>
      </c>
      <c r="E66" t="str">
        <f t="shared" ref="E66:E129" ca="1" si="1">CONCATENATE(CHAR(34)&amp;"",A66,""&amp;CHAR(34)," : ", CHAR(34)&amp;"",D66,""&amp;CHAR(34),",")</f>
        <v>"2084005533" : "PC-FX",</v>
      </c>
    </row>
    <row r="67" spans="1:5" ht="15.75" customHeight="1">
      <c r="A67" s="6">
        <v>2084005247</v>
      </c>
      <c r="B67" s="7" t="s">
        <v>109</v>
      </c>
      <c r="C67" s="7" t="s">
        <v>110</v>
      </c>
      <c r="D67" s="3" t="str">
        <f ca="1">IFERROR(__xludf.DUMMYFUNCTION("GOOGLETRANSLATE(B67,""ja"",""vi"")"),"động cơ PC")</f>
        <v>động cơ PC</v>
      </c>
      <c r="E67" t="str">
        <f t="shared" ca="1" si="1"/>
        <v>"2084005247" : "động cơ PC",</v>
      </c>
    </row>
    <row r="68" spans="1:5" ht="15.75" customHeight="1">
      <c r="A68" s="6">
        <v>2084057109</v>
      </c>
      <c r="B68" s="7" t="s">
        <v>111</v>
      </c>
      <c r="C68" s="7" t="s">
        <v>112</v>
      </c>
      <c r="D68" s="3" t="str">
        <f ca="1">IFERROR(__xludf.DUMMYFUNCTION("GOOGLETRANSLATE(B68,""ja"",""vi"")"),"PSP (PlayStation Portable)")</f>
        <v>PSP (PlayStation Portable)</v>
      </c>
      <c r="E68" t="str">
        <f t="shared" ca="1" si="1"/>
        <v>"2084057109" : "PSP (PlayStation Portable)",</v>
      </c>
    </row>
    <row r="69" spans="1:5" ht="15.75" customHeight="1">
      <c r="A69" s="6">
        <v>2084056539</v>
      </c>
      <c r="B69" s="7" t="s">
        <v>113</v>
      </c>
      <c r="C69" s="7" t="s">
        <v>114</v>
      </c>
      <c r="D69" s="3" t="str">
        <f ca="1">IFERROR(__xludf.DUMMYFUNCTION("GOOGLETRANSLATE(B69,""ja"",""vi"")"),"Nintendo DS")</f>
        <v>Nintendo DS</v>
      </c>
      <c r="E69" t="str">
        <f t="shared" ca="1" si="1"/>
        <v>"2084056539" : "Nintendo DS",</v>
      </c>
    </row>
    <row r="70" spans="1:5" ht="15.75" customHeight="1">
      <c r="A70" s="6">
        <v>2084041580</v>
      </c>
      <c r="B70" s="7" t="s">
        <v>115</v>
      </c>
      <c r="C70" s="7" t="s">
        <v>116</v>
      </c>
      <c r="D70" s="3" t="str">
        <f ca="1">IFERROR(__xludf.DUMMYFUNCTION("GOOGLETRANSLATE(B70,""ja"",""vi"")"),"Game Boy Advance")</f>
        <v>Game Boy Advance</v>
      </c>
      <c r="E70" t="str">
        <f t="shared" ca="1" si="1"/>
        <v>"2084041580" : "Game Boy Advance",</v>
      </c>
    </row>
    <row r="71" spans="1:5" ht="15.75" customHeight="1">
      <c r="A71" s="6">
        <v>27812</v>
      </c>
      <c r="B71" s="7" t="s">
        <v>117</v>
      </c>
      <c r="C71" s="7" t="s">
        <v>118</v>
      </c>
      <c r="D71" s="3" t="str">
        <f ca="1">IFERROR(__xludf.DUMMYFUNCTION("GOOGLETRANSLATE(B71,""ja"",""vi"")"),"game Boy")</f>
        <v>game Boy</v>
      </c>
      <c r="E71" t="str">
        <f t="shared" ca="1" si="1"/>
        <v>"27812" : "game Boy",</v>
      </c>
    </row>
    <row r="72" spans="1:5" ht="15.75" customHeight="1">
      <c r="A72" s="6">
        <v>2084045654</v>
      </c>
      <c r="B72" s="7" t="s">
        <v>119</v>
      </c>
      <c r="C72" s="7" t="s">
        <v>120</v>
      </c>
      <c r="D72" s="3" t="str">
        <f ca="1">IFERROR(__xludf.DUMMYFUNCTION("GOOGLETRANSLATE(B72,""ja"",""vi"")"),"trò chơi đồng hồ")</f>
        <v>trò chơi đồng hồ</v>
      </c>
      <c r="E72" t="str">
        <f t="shared" ca="1" si="1"/>
        <v>"2084045654" : "trò chơi đồng hồ",</v>
      </c>
    </row>
    <row r="73" spans="1:5" ht="15.75" customHeight="1">
      <c r="A73" s="6">
        <v>22868</v>
      </c>
      <c r="B73" s="7" t="s">
        <v>95</v>
      </c>
      <c r="C73" s="7" t="s">
        <v>121</v>
      </c>
      <c r="D73" s="3" t="str">
        <f ca="1">IFERROR(__xludf.DUMMYFUNCTION("GOOGLETRANSLATE(B73,""ja"",""vi"")"),"game Gear")</f>
        <v>game Gear</v>
      </c>
      <c r="E73" t="str">
        <f t="shared" ca="1" si="1"/>
        <v>"22868" : "game Gear",</v>
      </c>
    </row>
    <row r="74" spans="1:5" ht="15.75" customHeight="1">
      <c r="A74" s="6">
        <v>2084041577</v>
      </c>
      <c r="B74" s="7" t="s">
        <v>122</v>
      </c>
      <c r="C74" s="7" t="s">
        <v>123</v>
      </c>
      <c r="D74" s="3" t="str">
        <f ca="1">IFERROR(__xludf.DUMMYFUNCTION("GOOGLETRANSLATE(B74,""ja"",""vi"")"),"trạm Pocket")</f>
        <v>trạm Pocket</v>
      </c>
      <c r="E74" t="str">
        <f t="shared" ca="1" si="1"/>
        <v>"2084041577" : "trạm Pocket",</v>
      </c>
    </row>
    <row r="75" spans="1:5" ht="15.75" customHeight="1">
      <c r="A75" s="6">
        <v>2084005536</v>
      </c>
      <c r="B75" s="7" t="s">
        <v>124</v>
      </c>
      <c r="C75" s="7" t="s">
        <v>125</v>
      </c>
      <c r="D75" s="3" t="str">
        <f ca="1">IFERROR(__xludf.DUMMYFUNCTION("GOOGLETRANSLATE(B75,""ja"",""vi"")"),"WonderSwan")</f>
        <v>WonderSwan</v>
      </c>
      <c r="E75" t="str">
        <f t="shared" ca="1" si="1"/>
        <v>"2084005536" : "WonderSwan",</v>
      </c>
    </row>
    <row r="76" spans="1:5" ht="15.75" customHeight="1">
      <c r="A76" s="6">
        <v>22888</v>
      </c>
      <c r="B76" s="7" t="s">
        <v>105</v>
      </c>
      <c r="C76" s="7" t="s">
        <v>126</v>
      </c>
      <c r="D76" s="3" t="str">
        <f ca="1">IFERROR(__xludf.DUMMYFUNCTION("GOOGLETRANSLATE(B76,""ja"",""vi"")"),"nếu không thì")</f>
        <v>nếu không thì</v>
      </c>
      <c r="E76" t="str">
        <f t="shared" ca="1" si="1"/>
        <v>"22888" : "nếu không thì",</v>
      </c>
    </row>
    <row r="77" spans="1:5" ht="15.75" customHeight="1">
      <c r="A77" s="6">
        <v>2084047782</v>
      </c>
      <c r="B77" s="7" t="s">
        <v>127</v>
      </c>
      <c r="C77" s="7" t="s">
        <v>128</v>
      </c>
      <c r="D77" s="3" t="str">
        <f ca="1">IFERROR(__xludf.DUMMYFUNCTION("GOOGLETRANSLATE(B77,""ja"",""vi"")"),"Ban trò chơi")</f>
        <v>Ban trò chơi</v>
      </c>
      <c r="E77" t="str">
        <f t="shared" ca="1" si="1"/>
        <v>"2084047782" : "Ban trò chơi",</v>
      </c>
    </row>
    <row r="78" spans="1:5" ht="15.75" customHeight="1">
      <c r="A78" s="6">
        <v>2084047783</v>
      </c>
      <c r="B78" s="7" t="s">
        <v>129</v>
      </c>
      <c r="C78" s="7" t="s">
        <v>130</v>
      </c>
      <c r="D78" s="3" t="str">
        <f ca="1">IFERROR(__xludf.DUMMYFUNCTION("GOOGLETRANSLATE(B78,""ja"",""vi"")"),"Nhà ở, bảng điều khiển")</f>
        <v>Nhà ở, bảng điều khiển</v>
      </c>
      <c r="E78" t="str">
        <f t="shared" ca="1" si="1"/>
        <v>"2084047783" : "Nhà ở, bảng điều khiển",</v>
      </c>
    </row>
    <row r="79" spans="1:5" ht="15.75" customHeight="1">
      <c r="A79" s="6">
        <v>2084245563</v>
      </c>
      <c r="B79" s="7" t="s">
        <v>131</v>
      </c>
      <c r="C79" s="7" t="s">
        <v>132</v>
      </c>
      <c r="D79" s="3" t="str">
        <f ca="1">IFERROR(__xludf.DUMMYFUNCTION("GOOGLETRANSLATE(B79,""ja"",""vi"")"),"thẻ IC")</f>
        <v>thẻ IC</v>
      </c>
      <c r="E79" t="str">
        <f t="shared" ca="1" si="1"/>
        <v>"2084245563" : "thẻ IC",</v>
      </c>
    </row>
    <row r="80" spans="1:5" ht="15.75" customHeight="1">
      <c r="A80" s="6">
        <v>2084245564</v>
      </c>
      <c r="B80" s="7" t="s">
        <v>133</v>
      </c>
      <c r="C80" s="7" t="s">
        <v>134</v>
      </c>
      <c r="D80" s="3" t="str">
        <f ca="1">IFERROR(__xludf.DUMMYFUNCTION("GOOGLETRANSLATE(B80,""ja"",""vi"")"),"Catalogue, hướng dẫn")</f>
        <v>Catalogue, hướng dẫn</v>
      </c>
      <c r="E80" t="str">
        <f t="shared" ca="1" si="1"/>
        <v>"2084245564" : "Catalogue, hướng dẫn",</v>
      </c>
    </row>
    <row r="81" spans="1:5" ht="15.75" customHeight="1">
      <c r="A81" s="6">
        <v>2084245561</v>
      </c>
      <c r="B81" s="7" t="s">
        <v>135</v>
      </c>
      <c r="C81" s="7" t="s">
        <v>136</v>
      </c>
      <c r="D81" s="3" t="str">
        <f ca="1">IFERROR(__xludf.DUMMYFUNCTION("GOOGLETRANSLATE(B81,""ja"",""vi"")"),"poster")</f>
        <v>poster</v>
      </c>
      <c r="E81" t="str">
        <f t="shared" ca="1" si="1"/>
        <v>"2084245561" : "poster",</v>
      </c>
    </row>
    <row r="82" spans="1:5" ht="15.75" customHeight="1">
      <c r="A82" s="6">
        <v>2084245562</v>
      </c>
      <c r="B82" s="7" t="s">
        <v>137</v>
      </c>
      <c r="C82" s="7" t="s">
        <v>138</v>
      </c>
      <c r="D82" s="3" t="str">
        <f ca="1">IFERROR(__xludf.DUMMYFUNCTION("GOOGLETRANSLATE(B82,""ja"",""vi"")"),"Pop, Lắp đặt")</f>
        <v>Pop, Lắp đặt</v>
      </c>
      <c r="E82" t="str">
        <f t="shared" ca="1" si="1"/>
        <v>"2084245562" : "Pop, Lắp đặt",</v>
      </c>
    </row>
    <row r="83" spans="1:5" ht="15.75" customHeight="1">
      <c r="A83" s="6">
        <v>2084050457</v>
      </c>
      <c r="B83" s="7" t="s">
        <v>139</v>
      </c>
      <c r="C83" s="7" t="s">
        <v>140</v>
      </c>
      <c r="D83" s="3" t="str">
        <f ca="1">IFERROR(__xludf.DUMMYFUNCTION("GOOGLETRANSLATE(B83,""ja"",""vi"")"),"WCCF")</f>
        <v>WCCF</v>
      </c>
      <c r="E83" t="str">
        <f t="shared" ca="1" si="1"/>
        <v>"2084050457" : "WCCF",</v>
      </c>
    </row>
    <row r="84" spans="1:5" ht="15.75" customHeight="1">
      <c r="A84" s="6">
        <v>2084047784</v>
      </c>
      <c r="B84" s="7" t="s">
        <v>105</v>
      </c>
      <c r="C84" s="7" t="s">
        <v>141</v>
      </c>
      <c r="D84" s="3" t="str">
        <f ca="1">IFERROR(__xludf.DUMMYFUNCTION("GOOGLETRANSLATE(B84,""ja"",""vi"")"),"nếu không thì")</f>
        <v>nếu không thì</v>
      </c>
      <c r="E84" t="str">
        <f t="shared" ca="1" si="1"/>
        <v>"2084047784" : "nếu không thì",</v>
      </c>
    </row>
    <row r="85" spans="1:5" ht="15.75" customHeight="1">
      <c r="A85" s="6">
        <v>2084006972</v>
      </c>
      <c r="B85" s="7" t="s">
        <v>142</v>
      </c>
      <c r="C85" s="7" t="s">
        <v>143</v>
      </c>
      <c r="D85" s="3" t="str">
        <f ca="1">IFERROR(__xludf.DUMMYFUNCTION("GOOGLETRANSLATE(B85,""ja"",""vi"")"),"trò chơi chung")</f>
        <v>trò chơi chung</v>
      </c>
      <c r="E85" t="str">
        <f t="shared" ca="1" si="1"/>
        <v>"2084006972" : "trò chơi chung",</v>
      </c>
    </row>
    <row r="86" spans="1:5" ht="15.75" customHeight="1">
      <c r="A86" s="6">
        <v>2084006974</v>
      </c>
      <c r="B86" s="7" t="s">
        <v>144</v>
      </c>
      <c r="C86" s="7" t="s">
        <v>145</v>
      </c>
      <c r="D86" s="3" t="str">
        <f ca="1">IFERROR(__xludf.DUMMYFUNCTION("GOOGLETRANSLATE(B86,""ja"",""vi"")"),"Memorial Tokimeki")</f>
        <v>Memorial Tokimeki</v>
      </c>
      <c r="E86" t="str">
        <f t="shared" ca="1" si="1"/>
        <v>"2084006974" : "Memorial Tokimeki",</v>
      </c>
    </row>
    <row r="87" spans="1:5" ht="15.75" customHeight="1">
      <c r="A87" s="6">
        <v>2084006978</v>
      </c>
      <c r="B87" s="7" t="s">
        <v>146</v>
      </c>
      <c r="C87" s="7" t="s">
        <v>147</v>
      </c>
      <c r="D87" s="3" t="str">
        <f ca="1">IFERROR(__xludf.DUMMYFUNCTION("GOOGLETRANSLATE(B87,""ja"",""vi"")"),"Sakura Wars")</f>
        <v>Sakura Wars</v>
      </c>
      <c r="E87" t="str">
        <f t="shared" ca="1" si="1"/>
        <v>"2084006978" : "Sakura Wars",</v>
      </c>
    </row>
    <row r="88" spans="1:5" ht="15.75" customHeight="1">
      <c r="A88" s="6">
        <v>2084006977</v>
      </c>
      <c r="B88" s="7" t="s">
        <v>148</v>
      </c>
      <c r="C88" s="7" t="s">
        <v>149</v>
      </c>
      <c r="D88" s="3" t="str">
        <f ca="1">IFERROR(__xludf.DUMMYFUNCTION("GOOGLETRANSLATE(B88,""ja"",""vi"")"),"sentimental Graffiti")</f>
        <v>sentimental Graffiti</v>
      </c>
      <c r="E88" t="str">
        <f t="shared" ca="1" si="1"/>
        <v>"2084006977" : "sentimental Graffiti",</v>
      </c>
    </row>
    <row r="89" spans="1:5" ht="15.75" customHeight="1">
      <c r="A89" s="6">
        <v>2084006976</v>
      </c>
      <c r="B89" s="7" t="s">
        <v>150</v>
      </c>
      <c r="C89" s="7" t="s">
        <v>151</v>
      </c>
      <c r="D89" s="3" t="str">
        <f ca="1">IFERROR(__xludf.DUMMYFUNCTION("GOOGLETRANSLATE(B89,""ja"",""vi"")"),"dragon Quest")</f>
        <v>dragon Quest</v>
      </c>
      <c r="E89" t="str">
        <f t="shared" ca="1" si="1"/>
        <v>"2084006976" : "dragon Quest",</v>
      </c>
    </row>
    <row r="90" spans="1:5" ht="15.75" customHeight="1">
      <c r="A90" s="6">
        <v>2084006975</v>
      </c>
      <c r="B90" s="7" t="s">
        <v>152</v>
      </c>
      <c r="C90" s="7" t="s">
        <v>153</v>
      </c>
      <c r="D90" s="3" t="str">
        <f ca="1">IFERROR(__xludf.DUMMYFUNCTION("GOOGLETRANSLATE(B90,""ja"",""vi"")"),"Final fantasy")</f>
        <v>Final fantasy</v>
      </c>
      <c r="E90" t="str">
        <f t="shared" ca="1" si="1"/>
        <v>"2084006975" : "Final fantasy",</v>
      </c>
    </row>
    <row r="91" spans="1:5" ht="15.75" customHeight="1">
      <c r="A91" s="6">
        <v>2084047451</v>
      </c>
      <c r="B91" s="7" t="s">
        <v>154</v>
      </c>
      <c r="C91" s="7" t="s">
        <v>155</v>
      </c>
      <c r="D91" s="3" t="str">
        <f ca="1">IFERROR(__xludf.DUMMYFUNCTION("GOOGLETRANSLATE(B91,""ja"",""vi"")"),"CD cuốn sách")</f>
        <v>CD cuốn sách</v>
      </c>
      <c r="E91" t="str">
        <f t="shared" ca="1" si="1"/>
        <v>"2084047451" : "CD cuốn sách",</v>
      </c>
    </row>
    <row r="92" spans="1:5" ht="15.75" customHeight="1">
      <c r="A92" s="6">
        <v>2084009076</v>
      </c>
      <c r="B92" s="7" t="s">
        <v>156</v>
      </c>
      <c r="C92" s="7" t="s">
        <v>157</v>
      </c>
      <c r="D92" s="3" t="str">
        <f ca="1">IFERROR(__xludf.DUMMYFUNCTION("GOOGLETRANSLATE(B92,""ja"",""vi"")"),"trò chơi Cels")</f>
        <v>trò chơi Cels</v>
      </c>
      <c r="E92" t="str">
        <f t="shared" ca="1" si="1"/>
        <v>"2084009076" : "trò chơi Cels",</v>
      </c>
    </row>
    <row r="93" spans="1:5" ht="15.75" customHeight="1">
      <c r="A93" s="6">
        <v>2084009068</v>
      </c>
      <c r="B93" s="7" t="s">
        <v>158</v>
      </c>
      <c r="C93" s="7" t="s">
        <v>159</v>
      </c>
      <c r="D93" s="3" t="str">
        <f ca="1">IFERROR(__xludf.DUMMYFUNCTION("GOOGLETRANSLATE(B93,""ja"",""vi"")"),"hoạt động")</f>
        <v>hoạt động</v>
      </c>
      <c r="E93" t="str">
        <f t="shared" ca="1" si="1"/>
        <v>"2084009068" : "hoạt động",</v>
      </c>
    </row>
    <row r="94" spans="1:5" ht="15.75" customHeight="1">
      <c r="A94" s="6">
        <v>2084009069</v>
      </c>
      <c r="B94" s="7" t="s">
        <v>160</v>
      </c>
      <c r="C94" s="7" t="s">
        <v>161</v>
      </c>
      <c r="D94" s="3" t="str">
        <f ca="1">IFERROR(__xludf.DUMMYFUNCTION("GOOGLETRANSLATE(B94,""ja"",""vi"")"),"phiêu lưu")</f>
        <v>phiêu lưu</v>
      </c>
      <c r="E94" t="str">
        <f t="shared" ca="1" si="1"/>
        <v>"2084009069" : "phiêu lưu",</v>
      </c>
    </row>
    <row r="95" spans="1:5" ht="15.75" customHeight="1">
      <c r="A95" s="6">
        <v>2084009070</v>
      </c>
      <c r="B95" s="7" t="s">
        <v>162</v>
      </c>
      <c r="C95" s="7" t="s">
        <v>163</v>
      </c>
      <c r="D95" s="3" t="str">
        <f ca="1">IFERROR(__xludf.DUMMYFUNCTION("GOOGLETRANSLATE(B95,""ja"",""vi"")"),"Card, bảng")</f>
        <v>Card, bảng</v>
      </c>
      <c r="E95" t="str">
        <f t="shared" ca="1" si="1"/>
        <v>"2084009070" : "Card, bảng",</v>
      </c>
    </row>
    <row r="96" spans="1:5" ht="15.75" customHeight="1">
      <c r="A96" s="6">
        <v>2084009071</v>
      </c>
      <c r="B96" s="7" t="s">
        <v>164</v>
      </c>
      <c r="C96" s="7" t="s">
        <v>165</v>
      </c>
      <c r="D96" s="3" t="str">
        <f ca="1">IFERROR(__xludf.DUMMYFUNCTION("GOOGLETRANSLATE(B96,""ja"",""vi"")"),"đố")</f>
        <v>đố</v>
      </c>
      <c r="E96" t="str">
        <f t="shared" ca="1" si="1"/>
        <v>"2084009071" : "đố",</v>
      </c>
    </row>
    <row r="97" spans="1:5" ht="15.75" customHeight="1">
      <c r="A97" s="6">
        <v>2084047654</v>
      </c>
      <c r="B97" s="7" t="s">
        <v>166</v>
      </c>
      <c r="C97" s="7" t="s">
        <v>167</v>
      </c>
      <c r="D97" s="3" t="str">
        <f ca="1">IFERROR(__xludf.DUMMYFUNCTION("GOOGLETRANSLATE(B97,""ja"",""vi"")"),"tạp chí game")</f>
        <v>tạp chí game</v>
      </c>
      <c r="E97" t="str">
        <f t="shared" ca="1" si="1"/>
        <v>"2084047654" : "tạp chí game",</v>
      </c>
    </row>
    <row r="98" spans="1:5" ht="15.75" customHeight="1">
      <c r="A98" s="6">
        <v>2084009072</v>
      </c>
      <c r="B98" s="7" t="s">
        <v>168</v>
      </c>
      <c r="C98" s="7" t="s">
        <v>169</v>
      </c>
      <c r="D98" s="3" t="str">
        <f ca="1">IFERROR(__xludf.DUMMYFUNCTION("GOOGLETRANSLATE(B98,""ja"",""vi"")"),"mô phỏng")</f>
        <v>mô phỏng</v>
      </c>
      <c r="E98" t="str">
        <f t="shared" ca="1" si="1"/>
        <v>"2084009072" : "mô phỏng",</v>
      </c>
    </row>
    <row r="99" spans="1:5" ht="15.75" customHeight="1">
      <c r="A99" s="6">
        <v>2084009075</v>
      </c>
      <c r="B99" s="7" t="s">
        <v>170</v>
      </c>
      <c r="C99" s="7" t="s">
        <v>171</v>
      </c>
      <c r="D99" s="3" t="str">
        <f ca="1">IFERROR(__xludf.DUMMYFUNCTION("GOOGLETRANSLATE(B99,""ja"",""vi"")"),"thể thao")</f>
        <v>thể thao</v>
      </c>
      <c r="E99" t="str">
        <f t="shared" ca="1" si="1"/>
        <v>"2084009075" : "thể thao",</v>
      </c>
    </row>
    <row r="100" spans="1:5" ht="15.75" customHeight="1">
      <c r="A100" s="6">
        <v>2084009073</v>
      </c>
      <c r="B100" s="7" t="s">
        <v>172</v>
      </c>
      <c r="C100" s="7" t="s">
        <v>173</v>
      </c>
      <c r="D100" s="3" t="str">
        <f ca="1">IFERROR(__xludf.DUMMYFUNCTION("GOOGLETRANSLATE(B100,""ja"",""vi"")"),"Puzzle, mê cung")</f>
        <v>Puzzle, mê cung</v>
      </c>
      <c r="E100" t="str">
        <f t="shared" ca="1" si="1"/>
        <v>"2084009073" : "Puzzle, mê cung",</v>
      </c>
    </row>
    <row r="101" spans="1:5" ht="15.75" customHeight="1">
      <c r="A101" s="6">
        <v>2084047652</v>
      </c>
      <c r="B101" s="7" t="s">
        <v>174</v>
      </c>
      <c r="C101" s="7" t="s">
        <v>175</v>
      </c>
      <c r="D101" s="3" t="str">
        <f ca="1">IFERROR(__xludf.DUMMYFUNCTION("GOOGLETRANSLATE(B101,""ja"",""vi"")"),"cuộc đua")</f>
        <v>cuộc đua</v>
      </c>
      <c r="E101" t="str">
        <f t="shared" ca="1" si="1"/>
        <v>"2084047652" : "cuộc đua",</v>
      </c>
    </row>
    <row r="102" spans="1:5" ht="15.75" customHeight="1">
      <c r="A102" s="6">
        <v>2084009074</v>
      </c>
      <c r="B102" s="7" t="s">
        <v>176</v>
      </c>
      <c r="C102" s="7" t="s">
        <v>177</v>
      </c>
      <c r="D102" s="3" t="str">
        <f ca="1">IFERROR(__xludf.DUMMYFUNCTION("GOOGLETRANSLATE(B102,""ja"",""vi"")"),"Nhập vai")</f>
        <v>Nhập vai</v>
      </c>
      <c r="E102" t="str">
        <f t="shared" ca="1" si="1"/>
        <v>"2084009074" : "Nhập vai",</v>
      </c>
    </row>
    <row r="103" spans="1:5" ht="15.75" customHeight="1">
      <c r="A103" s="6">
        <v>2084047651</v>
      </c>
      <c r="B103" s="7" t="s">
        <v>105</v>
      </c>
      <c r="C103" s="7" t="s">
        <v>178</v>
      </c>
      <c r="D103" s="3" t="str">
        <f ca="1">IFERROR(__xludf.DUMMYFUNCTION("GOOGLETRANSLATE(B103,""ja"",""vi"")"),"nếu không thì")</f>
        <v>nếu không thì</v>
      </c>
      <c r="E103" t="str">
        <f t="shared" ca="1" si="1"/>
        <v>"2084047651" : "nếu không thì",</v>
      </c>
    </row>
    <row r="104" spans="1:5" ht="15.75" customHeight="1">
      <c r="A104" s="6">
        <v>2084047655</v>
      </c>
      <c r="B104" s="7" t="s">
        <v>179</v>
      </c>
      <c r="C104" s="7" t="s">
        <v>180</v>
      </c>
      <c r="D104" s="3" t="str">
        <f ca="1">IFERROR(__xludf.DUMMYFUNCTION("GOOGLETRANSLATE(B104,""ja"",""vi"")"),"Mã số trò chơi")</f>
        <v>Mã số trò chơi</v>
      </c>
      <c r="E104" t="str">
        <f t="shared" ca="1" si="1"/>
        <v>"2084047655" : "Mã số trò chơi",</v>
      </c>
    </row>
    <row r="105" spans="1:5" ht="15.75" customHeight="1">
      <c r="A105" s="6">
        <v>2084008025</v>
      </c>
      <c r="B105" s="7" t="s">
        <v>181</v>
      </c>
      <c r="C105" s="7" t="s">
        <v>182</v>
      </c>
      <c r="D105" s="3" t="str">
        <f ca="1">IFERROR(__xludf.DUMMYFUNCTION("GOOGLETRANSLATE(B105,""ja"",""vi"")"),"PC Games")</f>
        <v>PC Games</v>
      </c>
      <c r="E105" t="str">
        <f t="shared" ca="1" si="1"/>
        <v>"2084008025" : "PC Games",</v>
      </c>
    </row>
    <row r="106" spans="1:5" ht="15.75" customHeight="1">
      <c r="A106" s="6">
        <v>2084306919</v>
      </c>
      <c r="B106" s="7" t="s">
        <v>183</v>
      </c>
      <c r="C106" s="7" t="s">
        <v>184</v>
      </c>
      <c r="D106" s="3" t="str">
        <f ca="1">IFERROR(__xludf.DUMMYFUNCTION("GOOGLETRANSLATE(B106,""ja"",""vi"")"),"Loạt đầu tiên, ""Knight Vua của Mùa Vọng (Kishimen Korin O).""")</f>
        <v>Loạt đầu tiên, "Knight Vua của Mùa Vọng (Kishimen Korin O)."</v>
      </c>
      <c r="E106" t="str">
        <f t="shared" ca="1" si="1"/>
        <v>"2084306919" : "Loạt đầu tiên, "Knight Vua của Mùa Vọng (Kishimen Korin O)."",</v>
      </c>
    </row>
    <row r="107" spans="1:5" ht="15.75" customHeight="1">
      <c r="A107" s="6">
        <v>2084306920</v>
      </c>
      <c r="B107" s="7" t="s">
        <v>185</v>
      </c>
      <c r="C107" s="7" t="s">
        <v>186</v>
      </c>
      <c r="D107" s="3" t="str">
        <f ca="1">IFERROR(__xludf.DUMMYFUNCTION("GOOGLETRANSLATE(B107,""ja"",""vi"")"),"2 ""Ryutamashi nhảy hoang dã (Kon Liu hoang dã Dance)""")</f>
        <v>2 "Ryutamashi nhảy hoang dã (Kon Liu hoang dã Dance)"</v>
      </c>
      <c r="E107" t="str">
        <f t="shared" ca="1" si="1"/>
        <v>"2084306920" : "2 "Ryutamashi nhảy hoang dã (Kon Liu hoang dã Dance)"",</v>
      </c>
    </row>
    <row r="108" spans="1:5" ht="15.75" customHeight="1">
      <c r="A108" s="6">
        <v>2084306921</v>
      </c>
      <c r="B108" s="7" t="s">
        <v>187</v>
      </c>
      <c r="C108" s="7" t="s">
        <v>188</v>
      </c>
      <c r="D108" s="3" t="str">
        <f ca="1">IFERROR(__xludf.DUMMYFUNCTION("GOOGLETRANSLATE(B108,""ja"",""vi"")"),"3 ""McCaw xâm lược (Mako tấn công).""")</f>
        <v>3 "McCaw xâm lược (Mako tấn công)."</v>
      </c>
      <c r="E108" t="str">
        <f t="shared" ca="1" si="1"/>
        <v>"2084306921" : "3 "McCaw xâm lược (Mako tấn công)."",</v>
      </c>
    </row>
    <row r="109" spans="1:5" ht="15.75" customHeight="1">
      <c r="A109" s="6">
        <v>2084306922</v>
      </c>
      <c r="B109" s="7" t="s">
        <v>189</v>
      </c>
      <c r="C109" s="7" t="s">
        <v>190</v>
      </c>
      <c r="D109" s="3" t="str">
        <f ca="1">IFERROR(__xludf.DUMMYFUNCTION("GOOGLETRANSLATE(B109,""ja"",""vi"")"),"4 ""Kyokageshin 蝕 (vanity Shinto linh mục)""")</f>
        <v>4 "Kyokageshin 蝕 (vanity Shinto linh mục)"</v>
      </c>
      <c r="E109" t="str">
        <f t="shared" ca="1" si="1"/>
        <v>"2084306922" : "4 "Kyokageshin 蝕 (vanity Shinto linh mục)"",</v>
      </c>
    </row>
    <row r="110" spans="1:5" ht="15.75" customHeight="1">
      <c r="A110" s="6">
        <v>2084306923</v>
      </c>
      <c r="B110" s="7" t="s">
        <v>191</v>
      </c>
      <c r="C110" s="7" t="s">
        <v>192</v>
      </c>
      <c r="D110" s="3" t="str">
        <f ca="1">IFERROR(__xludf.DUMMYFUNCTION("GOOGLETRANSLATE(B110,""ja"",""vi"")"),"5 ""đúp gươm thức tỉnh (Soken thức tỉnh)""")</f>
        <v>5 "đúp gươm thức tỉnh (Soken thức tỉnh)"</v>
      </c>
      <c r="E110" t="str">
        <f t="shared" ca="1" si="1"/>
        <v>"2084306923" : "5 "đúp gươm thức tỉnh (Soken thức tỉnh)"",</v>
      </c>
    </row>
    <row r="111" spans="1:5" ht="15.75" customHeight="1">
      <c r="A111" s="6">
        <v>2084306924</v>
      </c>
      <c r="B111" s="7" t="s">
        <v>193</v>
      </c>
      <c r="C111" s="7" t="s">
        <v>194</v>
      </c>
      <c r="D111" s="3" t="str">
        <f ca="1">IFERROR(__xludf.DUMMYFUNCTION("GOOGLETRANSLATE(B111,""ja"",""vi"")"),"6 ""giới hạn vượt quá (vượt quá giới hạn)""")</f>
        <v>6 "giới hạn vượt quá (vượt quá giới hạn)"</v>
      </c>
      <c r="E111" t="str">
        <f t="shared" ca="1" si="1"/>
        <v>"2084306924" : "6 "giới hạn vượt quá (vượt quá giới hạn)"",</v>
      </c>
    </row>
    <row r="112" spans="1:5" ht="15.75" customHeight="1">
      <c r="A112" s="6">
        <v>2084306925</v>
      </c>
      <c r="B112" s="7" t="s">
        <v>195</v>
      </c>
      <c r="C112" s="7" t="s">
        <v>196</v>
      </c>
      <c r="D112" s="3" t="str">
        <f ca="1">IFERROR(__xludf.DUMMYFUNCTION("GOOGLETRANSLATE(B112,""ja"",""vi"")"),"Bullet Chương 7, ""Shishio 爆 進 (Juo Ground Zero).""")</f>
        <v>Bullet Chương 7, "Shishio 爆 進 (Juo Ground Zero)."</v>
      </c>
      <c r="E112" t="str">
        <f t="shared" ca="1" si="1"/>
        <v>"2084306925" : "Bullet Chương 7, "Shishio 爆 進 (Juo Ground Zero)."",</v>
      </c>
    </row>
    <row r="113" spans="1:5" ht="15.75" customHeight="1">
      <c r="A113" s="6">
        <v>2084309047</v>
      </c>
      <c r="B113" s="7" t="s">
        <v>197</v>
      </c>
      <c r="C113" s="7" t="s">
        <v>198</v>
      </c>
      <c r="D113" s="3" t="str">
        <f ca="1">IFERROR(__xludf.DUMMYFUNCTION("GOOGLETRANSLATE(B113,""ja"",""vi"")"),"Bullet Chương 8, ""hạm đội Aoiarashi (muốn để lan can)""")</f>
        <v>Bullet Chương 8, "hạm đội Aoiarashi (muốn để lan can)"</v>
      </c>
      <c r="E113" t="str">
        <f t="shared" ca="1" si="1"/>
        <v>"2084309047" : "Bullet Chương 8, "hạm đội Aoiarashi (muốn để lan can)"",</v>
      </c>
    </row>
    <row r="114" spans="1:5" ht="15.75" customHeight="1">
      <c r="A114" s="6">
        <v>2084306926</v>
      </c>
      <c r="B114" s="7" t="s">
        <v>105</v>
      </c>
      <c r="C114" s="7" t="s">
        <v>199</v>
      </c>
      <c r="D114" s="3" t="str">
        <f ca="1">IFERROR(__xludf.DUMMYFUNCTION("GOOGLETRANSLATE(B114,""ja"",""vi"")"),"nếu không thì")</f>
        <v>nếu không thì</v>
      </c>
      <c r="E114" t="str">
        <f t="shared" ca="1" si="1"/>
        <v>"2084306926" : "nếu không thì",</v>
      </c>
    </row>
    <row r="115" spans="1:5" ht="15.75" customHeight="1">
      <c r="A115" s="6">
        <v>2084019330</v>
      </c>
      <c r="B115" s="7" t="s">
        <v>200</v>
      </c>
      <c r="C115" s="7" t="s">
        <v>201</v>
      </c>
      <c r="D115" s="3" t="str">
        <f ca="1">IFERROR(__xludf.DUMMYFUNCTION("GOOGLETRANSLATE(B115,""ja"",""vi"")"),"độc thân")</f>
        <v>độc thân</v>
      </c>
      <c r="E115" t="str">
        <f t="shared" ca="1" si="1"/>
        <v>"2084019330" : "độc thân",</v>
      </c>
    </row>
    <row r="116" spans="1:5" ht="15.75" customHeight="1">
      <c r="A116" s="6">
        <v>2084019331</v>
      </c>
      <c r="B116" s="7" t="s">
        <v>202</v>
      </c>
      <c r="C116" s="7" t="s">
        <v>203</v>
      </c>
      <c r="D116" s="3" t="str">
        <f ca="1">IFERROR(__xludf.DUMMYFUNCTION("GOOGLETRANSLATE(B116,""ja"",""vi"")"),"hộp")</f>
        <v>hộp</v>
      </c>
      <c r="E116" t="str">
        <f t="shared" ca="1" si="1"/>
        <v>"2084019331" : "hộp",</v>
      </c>
    </row>
    <row r="117" spans="1:5" ht="15.75" customHeight="1">
      <c r="A117" s="6">
        <v>2084258755</v>
      </c>
      <c r="B117" s="7" t="s">
        <v>204</v>
      </c>
      <c r="C117" s="7" t="s">
        <v>205</v>
      </c>
      <c r="D117" s="3" t="str">
        <f ca="1">IFERROR(__xludf.DUMMYFUNCTION("GOOGLETRANSLATE(B117,""ja"",""vi"")"),"OG Crusade")</f>
        <v>OG Crusade</v>
      </c>
      <c r="E117" t="str">
        <f t="shared" ca="1" si="1"/>
        <v>"2084258755" : "OG Crusade",</v>
      </c>
    </row>
    <row r="118" spans="1:5" ht="15.75" customHeight="1">
      <c r="A118" s="6">
        <v>2084258753</v>
      </c>
      <c r="B118" s="7" t="s">
        <v>206</v>
      </c>
      <c r="C118" s="7" t="s">
        <v>207</v>
      </c>
      <c r="D118" s="3" t="str">
        <f ca="1">IFERROR(__xludf.DUMMYFUNCTION("GOOGLETRANSLATE(B118,""ja"",""vi"")"),"Sunrise Crusade")</f>
        <v>Sunrise Crusade</v>
      </c>
      <c r="E118" t="str">
        <f t="shared" ca="1" si="1"/>
        <v>"2084258753" : "Sunrise Crusade",</v>
      </c>
    </row>
    <row r="119" spans="1:5" ht="15.75" customHeight="1">
      <c r="A119" s="6">
        <v>2084258754</v>
      </c>
      <c r="B119" s="7" t="s">
        <v>208</v>
      </c>
      <c r="C119" s="7" t="s">
        <v>209</v>
      </c>
      <c r="D119" s="3" t="str">
        <f ca="1">IFERROR(__xludf.DUMMYFUNCTION("GOOGLETRANSLATE(B119,""ja"",""vi"")"),"Macross Crusade")</f>
        <v>Macross Crusade</v>
      </c>
      <c r="E119" t="str">
        <f t="shared" ca="1" si="1"/>
        <v>"2084258754" : "Macross Crusade",</v>
      </c>
    </row>
    <row r="120" spans="1:5" ht="15.75" customHeight="1">
      <c r="A120" s="6">
        <v>2084309048</v>
      </c>
      <c r="B120" s="7" t="s">
        <v>105</v>
      </c>
      <c r="C120" s="7" t="s">
        <v>210</v>
      </c>
      <c r="D120" s="3" t="str">
        <f ca="1">IFERROR(__xludf.DUMMYFUNCTION("GOOGLETRANSLATE(B120,""ja"",""vi"")"),"nếu không thì")</f>
        <v>nếu không thì</v>
      </c>
      <c r="E120" t="str">
        <f t="shared" ca="1" si="1"/>
        <v>"2084309048" : "nếu không thì",</v>
      </c>
    </row>
    <row r="121" spans="1:5" ht="15.75" customHeight="1">
      <c r="A121" s="6">
        <v>2084259470</v>
      </c>
      <c r="B121" s="7" t="s">
        <v>211</v>
      </c>
      <c r="C121" s="7" t="s">
        <v>212</v>
      </c>
      <c r="D121" s="3" t="str">
        <f ca="1">IFERROR(__xludf.DUMMYFUNCTION("GOOGLETRANSLATE(B121,""ja"",""vi"")"),"bình thường")</f>
        <v>bình thường</v>
      </c>
      <c r="E121" t="str">
        <f t="shared" ca="1" si="1"/>
        <v>"2084259470" : "bình thường",</v>
      </c>
    </row>
    <row r="122" spans="1:5" ht="15.75" customHeight="1">
      <c r="A122" s="6">
        <v>2084259471</v>
      </c>
      <c r="B122" s="7" t="s">
        <v>213</v>
      </c>
      <c r="C122" s="7" t="s">
        <v>214</v>
      </c>
      <c r="D122" s="3" t="str">
        <f ca="1">IFERROR(__xludf.DUMMYFUNCTION("GOOGLETRANSLATE(B122,""ja"",""vi"")"),"hiếm")</f>
        <v>hiếm</v>
      </c>
      <c r="E122" t="str">
        <f t="shared" ca="1" si="1"/>
        <v>"2084259471" : "hiếm",</v>
      </c>
    </row>
    <row r="123" spans="1:5" ht="15.75" customHeight="1">
      <c r="A123" s="6">
        <v>2084259472</v>
      </c>
      <c r="B123" s="7" t="s">
        <v>215</v>
      </c>
      <c r="C123" s="7" t="s">
        <v>216</v>
      </c>
      <c r="D123" s="3" t="str">
        <f ca="1">IFERROR(__xludf.DUMMYFUNCTION("GOOGLETRANSLATE(B123,""ja"",""vi"")"),"Suparea")</f>
        <v>Suparea</v>
      </c>
      <c r="E123" t="str">
        <f t="shared" ca="1" si="1"/>
        <v>"2084259472" : "Suparea",</v>
      </c>
    </row>
    <row r="124" spans="1:5" ht="15.75" customHeight="1">
      <c r="A124" s="6">
        <v>2084259473</v>
      </c>
      <c r="B124" s="7" t="s">
        <v>217</v>
      </c>
      <c r="C124" s="7" t="s">
        <v>218</v>
      </c>
      <c r="D124" s="3" t="str">
        <f ca="1">IFERROR(__xludf.DUMMYFUNCTION("GOOGLETRANSLATE(B124,""ja"",""vi"")"),"đặc biệt")</f>
        <v>đặc biệt</v>
      </c>
      <c r="E124" t="str">
        <f t="shared" ca="1" si="1"/>
        <v>"2084259473" : "đặc biệt",</v>
      </c>
    </row>
    <row r="125" spans="1:5" ht="15.75" customHeight="1">
      <c r="A125" s="6">
        <v>2084259474</v>
      </c>
      <c r="B125" s="7" t="s">
        <v>219</v>
      </c>
      <c r="C125" s="7" t="s">
        <v>220</v>
      </c>
      <c r="D125" s="3" t="str">
        <f ca="1">IFERROR(__xludf.DUMMYFUNCTION("GOOGLETRANSLATE(B125,""ja"",""vi"")"),"Huyền thoại hiếm")</f>
        <v>Huyền thoại hiếm</v>
      </c>
      <c r="E125" t="str">
        <f t="shared" ca="1" si="1"/>
        <v>"2084259474" : "Huyền thoại hiếm",</v>
      </c>
    </row>
    <row r="126" spans="1:5" ht="15.75" customHeight="1">
      <c r="A126" s="6">
        <v>2084259475</v>
      </c>
      <c r="B126" s="7" t="s">
        <v>105</v>
      </c>
      <c r="C126" s="7" t="s">
        <v>221</v>
      </c>
      <c r="D126" s="3" t="str">
        <f ca="1">IFERROR(__xludf.DUMMYFUNCTION("GOOGLETRANSLATE(B126,""ja"",""vi"")"),"nếu không thì")</f>
        <v>nếu không thì</v>
      </c>
      <c r="E126" t="str">
        <f t="shared" ca="1" si="1"/>
        <v>"2084259475" : "nếu không thì",</v>
      </c>
    </row>
    <row r="127" spans="1:5" ht="15.75" customHeight="1">
      <c r="A127" s="6">
        <v>2084306927</v>
      </c>
      <c r="B127" s="7" t="s">
        <v>222</v>
      </c>
      <c r="C127" s="7" t="s">
        <v>223</v>
      </c>
      <c r="D127" s="3" t="str">
        <f ca="1">IFERROR(__xludf.DUMMYFUNCTION("GOOGLETRANSLATE(B127,""ja"",""vi"")"),"Việc lắp đặt đầu tiên")</f>
        <v>Việc lắp đặt đầu tiên</v>
      </c>
      <c r="E127" t="str">
        <f t="shared" ca="1" si="1"/>
        <v>"2084306927" : "Việc lắp đặt đầu tiên",</v>
      </c>
    </row>
    <row r="128" spans="1:5" ht="15.75" customHeight="1">
      <c r="A128" s="6">
        <v>2084306928</v>
      </c>
      <c r="B128" s="7" t="s">
        <v>224</v>
      </c>
      <c r="C128" s="7" t="s">
        <v>225</v>
      </c>
      <c r="D128" s="3" t="str">
        <f ca="1">IFERROR(__xludf.DUMMYFUNCTION("GOOGLETRANSLATE(B128,""ja"",""vi"")"),"2nd")</f>
        <v>2nd</v>
      </c>
      <c r="E128" t="str">
        <f t="shared" ca="1" si="1"/>
        <v>"2084306928" : "2nd",</v>
      </c>
    </row>
    <row r="129" spans="1:5" ht="15.75" customHeight="1">
      <c r="A129" s="6">
        <v>2084306929</v>
      </c>
      <c r="B129" s="7" t="s">
        <v>226</v>
      </c>
      <c r="C129" s="7" t="s">
        <v>227</v>
      </c>
      <c r="D129" s="3" t="str">
        <f ca="1">IFERROR(__xludf.DUMMYFUNCTION("GOOGLETRANSLATE(B129,""ja"",""vi"")"),"3rd")</f>
        <v>3rd</v>
      </c>
      <c r="E129" t="str">
        <f t="shared" ca="1" si="1"/>
        <v>"2084306929" : "3rd",</v>
      </c>
    </row>
    <row r="130" spans="1:5" ht="15.75" customHeight="1">
      <c r="A130" s="6">
        <v>2084306930</v>
      </c>
      <c r="B130" s="7" t="s">
        <v>105</v>
      </c>
      <c r="C130" s="7" t="s">
        <v>228</v>
      </c>
      <c r="D130" s="3" t="str">
        <f ca="1">IFERROR(__xludf.DUMMYFUNCTION("GOOGLETRANSLATE(B130,""ja"",""vi"")"),"nếu không thì")</f>
        <v>nếu không thì</v>
      </c>
      <c r="E130" t="str">
        <f t="shared" ref="E130:E193" ca="1" si="2">CONCATENATE(CHAR(34)&amp;"",A130,""&amp;CHAR(34)," : ", CHAR(34)&amp;"",D130,""&amp;CHAR(34),",")</f>
        <v>"2084306930" : "nếu không thì",</v>
      </c>
    </row>
    <row r="131" spans="1:5" ht="15.75" customHeight="1">
      <c r="A131" s="6">
        <v>2084050459</v>
      </c>
      <c r="B131" s="7" t="s">
        <v>229</v>
      </c>
      <c r="C131" s="7" t="s">
        <v>230</v>
      </c>
      <c r="D131" s="3" t="str">
        <f ca="1">IFERROR(__xludf.DUMMYFUNCTION("GOOGLETRANSLATE(B131,""ja"",""vi"")"),"thẻ đặc biệt")</f>
        <v>thẻ đặc biệt</v>
      </c>
      <c r="E131" t="str">
        <f t="shared" ca="1" si="2"/>
        <v>"2084050459" : "thẻ đặc biệt",</v>
      </c>
    </row>
    <row r="132" spans="1:5" ht="15.75" customHeight="1">
      <c r="A132" s="6">
        <v>2084050460</v>
      </c>
      <c r="B132" s="7" t="s">
        <v>231</v>
      </c>
      <c r="C132" s="7" t="s">
        <v>232</v>
      </c>
      <c r="D132" s="3" t="str">
        <f ca="1">IFERROR(__xludf.DUMMYFUNCTION("GOOGLETRANSLATE(B132,""ja"",""vi"")"),"thẻ hiếm")</f>
        <v>thẻ hiếm</v>
      </c>
      <c r="E132" t="str">
        <f t="shared" ca="1" si="2"/>
        <v>"2084050460" : "thẻ hiếm",</v>
      </c>
    </row>
    <row r="133" spans="1:5" ht="15.75" customHeight="1">
      <c r="A133" s="6">
        <v>2084050458</v>
      </c>
      <c r="B133" s="7" t="s">
        <v>233</v>
      </c>
      <c r="C133" s="7" t="s">
        <v>234</v>
      </c>
      <c r="D133" s="3" t="str">
        <f ca="1">IFERROR(__xludf.DUMMYFUNCTION("GOOGLETRANSLATE(B133,""ja"",""vi"")"),"Thẻ thường xuyên")</f>
        <v>Thẻ thường xuyên</v>
      </c>
      <c r="E133" t="str">
        <f t="shared" ca="1" si="2"/>
        <v>"2084050458" : "Thẻ thường xuyên",</v>
      </c>
    </row>
    <row r="134" spans="1:5" ht="15.75" customHeight="1">
      <c r="A134" s="6">
        <v>2084049870</v>
      </c>
      <c r="B134" s="7" t="s">
        <v>235</v>
      </c>
      <c r="C134" s="7" t="s">
        <v>236</v>
      </c>
      <c r="D134" s="3" t="str">
        <f ca="1">IFERROR(__xludf.DUMMYFUNCTION("GOOGLETRANSLATE(B134,""ja"",""vi"")"),"sinh vật")</f>
        <v>sinh vật</v>
      </c>
      <c r="E134" t="str">
        <f t="shared" ca="1" si="2"/>
        <v>"2084049870" : "sinh vật",</v>
      </c>
    </row>
    <row r="135" spans="1:5" ht="15.75" customHeight="1">
      <c r="A135" s="6">
        <v>2084049871</v>
      </c>
      <c r="B135" s="7" t="s">
        <v>237</v>
      </c>
      <c r="C135" s="7" t="s">
        <v>238</v>
      </c>
      <c r="D135" s="3" t="str">
        <f ca="1">IFERROR(__xludf.DUMMYFUNCTION("GOOGLETRANSLATE(B135,""ja"",""vi"")"),"đánh vần")</f>
        <v>đánh vần</v>
      </c>
      <c r="E135" t="str">
        <f t="shared" ca="1" si="2"/>
        <v>"2084049871" : "đánh vần",</v>
      </c>
    </row>
    <row r="136" spans="1:5" ht="15.75" customHeight="1">
      <c r="A136" s="6">
        <v>2084049872</v>
      </c>
      <c r="B136" s="7" t="s">
        <v>105</v>
      </c>
      <c r="C136" s="7" t="s">
        <v>239</v>
      </c>
      <c r="D136" s="3" t="str">
        <f ca="1">IFERROR(__xludf.DUMMYFUNCTION("GOOGLETRANSLATE(B136,""ja"",""vi"")"),"nếu không thì")</f>
        <v>nếu không thì</v>
      </c>
      <c r="E136" t="str">
        <f t="shared" ca="1" si="2"/>
        <v>"2084049872" : "nếu không thì",</v>
      </c>
    </row>
    <row r="137" spans="1:5" ht="15.75" customHeight="1">
      <c r="A137" s="6">
        <v>2084239881</v>
      </c>
      <c r="B137" s="7" t="s">
        <v>240</v>
      </c>
      <c r="C137" s="7" t="s">
        <v>241</v>
      </c>
      <c r="D137" s="3" t="str">
        <f ca="1">IFERROR(__xludf.DUMMYFUNCTION("GOOGLETRANSLATE(B137,""ja"",""vi"")"),"Quái Trận Đường tôi")</f>
        <v>Quái Trận Đường tôi</v>
      </c>
      <c r="E137" t="str">
        <f t="shared" ca="1" si="2"/>
        <v>"2084239881" : "Quái Trận Đường tôi",</v>
      </c>
    </row>
    <row r="138" spans="1:5" ht="15.75" customHeight="1">
      <c r="A138" s="6">
        <v>2084239882</v>
      </c>
      <c r="B138" s="7" t="s">
        <v>242</v>
      </c>
      <c r="C138" s="7" t="s">
        <v>243</v>
      </c>
      <c r="D138" s="3" t="str">
        <f ca="1">IFERROR(__xludf.DUMMYFUNCTION("GOOGLETRANSLATE(B138,""ja"",""vi"")"),"Quái Trận đường II")</f>
        <v>Quái Trận đường II</v>
      </c>
      <c r="E138" t="str">
        <f t="shared" ca="1" si="2"/>
        <v>"2084239882" : "Quái Trận đường II",</v>
      </c>
    </row>
    <row r="139" spans="1:5" ht="15.75" customHeight="1">
      <c r="A139" s="6">
        <v>2084305396</v>
      </c>
      <c r="B139" s="7" t="s">
        <v>244</v>
      </c>
      <c r="C139" s="7" t="s">
        <v>245</v>
      </c>
      <c r="D139" s="3" t="str">
        <f ca="1">IFERROR(__xludf.DUMMYFUNCTION("GOOGLETRANSLATE(B139,""ja"",""vi"")"),"Dragon Ball Heroes")</f>
        <v>Dragon Ball Heroes</v>
      </c>
      <c r="E139" t="str">
        <f t="shared" ca="1" si="2"/>
        <v>"2084305396" : "Dragon Ball Heroes",</v>
      </c>
    </row>
    <row r="140" spans="1:5" ht="15.75" customHeight="1">
      <c r="A140" s="6">
        <v>2084309050</v>
      </c>
      <c r="B140" s="7" t="s">
        <v>246</v>
      </c>
      <c r="C140" s="7" t="s">
        <v>247</v>
      </c>
      <c r="D140" s="3" t="str">
        <f ca="1">IFERROR(__xludf.DUMMYFUNCTION("GOOGLETRANSLATE(B140,""ja"",""vi"")"),"Dragon Ball Carddass")</f>
        <v>Dragon Ball Carddass</v>
      </c>
      <c r="E140" t="str">
        <f t="shared" ca="1" si="2"/>
        <v>"2084309050" : "Dragon Ball Carddass",</v>
      </c>
    </row>
    <row r="141" spans="1:5" ht="15.75" customHeight="1">
      <c r="A141" s="6">
        <v>2084259107</v>
      </c>
      <c r="B141" s="7" t="s">
        <v>248</v>
      </c>
      <c r="C141" s="7" t="s">
        <v>249</v>
      </c>
      <c r="D141" s="3" t="str">
        <f ca="1">IFERROR(__xludf.DUMMYFUNCTION("GOOGLETRANSLATE(B141,""ja"",""vi"")"),"Dragon Ball Kai Rồng Butlers")</f>
        <v>Dragon Ball Kai Rồng Butlers</v>
      </c>
      <c r="E141" t="str">
        <f t="shared" ca="1" si="2"/>
        <v>"2084259107" : "Dragon Ball Kai Rồng Butlers",</v>
      </c>
    </row>
    <row r="142" spans="1:5" ht="15.75" customHeight="1">
      <c r="A142" s="6">
        <v>2084309049</v>
      </c>
      <c r="B142" s="7" t="s">
        <v>250</v>
      </c>
      <c r="C142" s="7" t="s">
        <v>251</v>
      </c>
      <c r="D142" s="3" t="str">
        <f ca="1">IFERROR(__xludf.DUMMYFUNCTION("GOOGLETRANSLATE(B142,""ja"",""vi"")"),"Miracle Trận Carddass")</f>
        <v>Miracle Trận Carddass</v>
      </c>
      <c r="E142" t="str">
        <f t="shared" ca="1" si="2"/>
        <v>"2084309049" : "Miracle Trận Carddass",</v>
      </c>
    </row>
    <row r="143" spans="1:5" ht="15.75" customHeight="1">
      <c r="A143" s="6">
        <v>2084259108</v>
      </c>
      <c r="B143" s="7" t="s">
        <v>105</v>
      </c>
      <c r="C143" s="7" t="s">
        <v>252</v>
      </c>
      <c r="D143" s="3" t="str">
        <f ca="1">IFERROR(__xludf.DUMMYFUNCTION("GOOGLETRANSLATE(B143,""ja"",""vi"")"),"nếu không thì")</f>
        <v>nếu không thì</v>
      </c>
      <c r="E143" t="str">
        <f t="shared" ca="1" si="2"/>
        <v>"2084259108" : "nếu không thì",</v>
      </c>
    </row>
    <row r="144" spans="1:5" ht="15.75" customHeight="1">
      <c r="A144" s="6">
        <v>2084309051</v>
      </c>
      <c r="B144" s="7" t="s">
        <v>253</v>
      </c>
      <c r="C144" s="7" t="s">
        <v>254</v>
      </c>
      <c r="D144" s="3" t="str">
        <f ca="1">IFERROR(__xludf.DUMMYFUNCTION("GOOGLETRANSLATE(B144,""ja"",""vi"")"),"Thiết lập, Lots Bán buôn")</f>
        <v>Thiết lập, Lots Bán buôn</v>
      </c>
      <c r="E144" t="str">
        <f t="shared" ca="1" si="2"/>
        <v>"2084309051" : "Thiết lập, Lots Bán buôn",</v>
      </c>
    </row>
    <row r="145" spans="1:5" ht="15.75" customHeight="1">
      <c r="A145" s="6">
        <v>2084306931</v>
      </c>
      <c r="B145" s="7" t="s">
        <v>255</v>
      </c>
      <c r="C145" s="7" t="s">
        <v>256</v>
      </c>
      <c r="D145" s="3" t="str">
        <f ca="1">IFERROR(__xludf.DUMMYFUNCTION("GOOGLETRANSLATE(B145,""ja"",""vi"")"),"đất vàng")</f>
        <v>đất vàng</v>
      </c>
      <c r="E145" t="str">
        <f t="shared" ca="1" si="2"/>
        <v>"2084306931" : "đất vàng",</v>
      </c>
    </row>
    <row r="146" spans="1:5" ht="15.75" customHeight="1">
      <c r="A146" s="6">
        <v>2084306933</v>
      </c>
      <c r="B146" s="7" t="s">
        <v>257</v>
      </c>
      <c r="C146" s="7" t="s">
        <v>258</v>
      </c>
      <c r="D146" s="3" t="str">
        <f ca="1">IFERROR(__xludf.DUMMYFUNCTION("GOOGLETRANSLATE(B146,""ja"",""vi"")"),"thế giới màn múa kiếm")</f>
        <v>thế giới màn múa kiếm</v>
      </c>
      <c r="E146" t="str">
        <f t="shared" ca="1" si="2"/>
        <v>"2084306933" : "thế giới màn múa kiếm",</v>
      </c>
    </row>
    <row r="147" spans="1:5" ht="15.75" customHeight="1">
      <c r="A147" s="6">
        <v>2084306934</v>
      </c>
      <c r="B147" s="7" t="s">
        <v>259</v>
      </c>
      <c r="C147" s="7" t="s">
        <v>260</v>
      </c>
      <c r="D147" s="3" t="str">
        <f ca="1">IFERROR(__xludf.DUMMYFUNCTION("GOOGLETRANSLATE(B147,""ja"",""vi"")"),"Overlord lớn Trận")</f>
        <v>Overlord lớn Trận</v>
      </c>
      <c r="E147" t="str">
        <f t="shared" ca="1" si="2"/>
        <v>"2084306934" : "Overlord lớn Trận",</v>
      </c>
    </row>
    <row r="148" spans="1:5" ht="15.75" customHeight="1">
      <c r="A148" s="6">
        <v>2084306932</v>
      </c>
      <c r="B148" s="7" t="s">
        <v>261</v>
      </c>
      <c r="C148" s="7" t="s">
        <v>262</v>
      </c>
      <c r="D148" s="3" t="str">
        <f ca="1">IFERROR(__xludf.DUMMYFUNCTION("GOOGLETRANSLATE(B148,""ja"",""vi"")"),"Bùng nổ của Hado")</f>
        <v>Bùng nổ của Hado</v>
      </c>
      <c r="E148" t="str">
        <f t="shared" ca="1" si="2"/>
        <v>"2084306932" : "Bùng nổ của Hado",</v>
      </c>
    </row>
    <row r="149" spans="1:5" ht="15.75" customHeight="1">
      <c r="A149" s="6">
        <v>2084306935</v>
      </c>
      <c r="B149" s="7" t="s">
        <v>105</v>
      </c>
      <c r="C149" s="7" t="s">
        <v>263</v>
      </c>
      <c r="D149" s="3" t="str">
        <f ca="1">IFERROR(__xludf.DUMMYFUNCTION("GOOGLETRANSLATE(B149,""ja"",""vi"")"),"nếu không thì")</f>
        <v>nếu không thì</v>
      </c>
      <c r="E149" t="str">
        <f t="shared" ca="1" si="2"/>
        <v>"2084306935" : "nếu không thì",</v>
      </c>
    </row>
    <row r="150" spans="1:5" ht="15.75" customHeight="1">
      <c r="A150" s="6">
        <v>2084259103</v>
      </c>
      <c r="B150" s="7" t="s">
        <v>264</v>
      </c>
      <c r="C150" s="7" t="s">
        <v>265</v>
      </c>
      <c r="D150" s="3" t="str">
        <f ca="1">IFERROR(__xludf.DUMMYFUNCTION("GOOGLETRANSLATE(B150,""ja"",""vi"")"),"Tim nhảy Catch giấc mơ")</f>
        <v>Tim nhảy Catch giấc mơ</v>
      </c>
      <c r="E150" t="str">
        <f t="shared" ca="1" si="2"/>
        <v>"2084259103" : "Tim nhảy Catch giấc mơ",</v>
      </c>
    </row>
    <row r="151" spans="1:5" ht="15.75" customHeight="1">
      <c r="A151" s="6">
        <v>2084309052</v>
      </c>
      <c r="B151" s="7" t="s">
        <v>266</v>
      </c>
      <c r="C151" s="7" t="s">
        <v>267</v>
      </c>
      <c r="D151" s="3" t="str">
        <f ca="1">IFERROR(__xludf.DUMMYFUNCTION("GOOGLETRANSLATE(B151,""ja"",""vi"")"),"Pretty Cure All Stars")</f>
        <v>Pretty Cure All Stars</v>
      </c>
      <c r="E151" t="str">
        <f t="shared" ca="1" si="2"/>
        <v>"2084309052" : "Pretty Cure All Stars",</v>
      </c>
    </row>
    <row r="152" spans="1:5" ht="15.75" customHeight="1">
      <c r="A152" s="6">
        <v>2084259104</v>
      </c>
      <c r="B152" s="7" t="s">
        <v>105</v>
      </c>
      <c r="C152" s="7" t="s">
        <v>268</v>
      </c>
      <c r="D152" s="3" t="str">
        <f ca="1">IFERROR(__xludf.DUMMYFUNCTION("GOOGLETRANSLATE(B152,""ja"",""vi"")"),"nếu không thì")</f>
        <v>nếu không thì</v>
      </c>
      <c r="E152" t="str">
        <f t="shared" ca="1" si="2"/>
        <v>"2084259104" : "nếu không thì",</v>
      </c>
    </row>
    <row r="153" spans="1:5" ht="15.75" customHeight="1">
      <c r="A153" s="6">
        <v>2084306939</v>
      </c>
      <c r="B153" s="7" t="s">
        <v>269</v>
      </c>
      <c r="C153" s="7" t="s">
        <v>270</v>
      </c>
      <c r="D153" s="3" t="str">
        <f ca="1">IFERROR(__xludf.DUMMYFUNCTION("GOOGLETRANSLATE(B153,""ja"",""vi"")"),"Orix Trâu")</f>
        <v>Orix Trâu</v>
      </c>
      <c r="E153" t="str">
        <f t="shared" ca="1" si="2"/>
        <v>"2084306939" : "Orix Trâu",</v>
      </c>
    </row>
    <row r="154" spans="1:5" ht="15.75" customHeight="1">
      <c r="A154" s="6">
        <v>2084306947</v>
      </c>
      <c r="B154" s="7" t="s">
        <v>271</v>
      </c>
      <c r="C154" s="7" t="s">
        <v>272</v>
      </c>
      <c r="D154" s="3" t="str">
        <f ca="1">IFERROR(__xludf.DUMMYFUNCTION("GOOGLETRANSLATE(B154,""ja"",""vi"")"),"Yokohama DeNA BayStars")</f>
        <v>Yokohama DeNA BayStars</v>
      </c>
      <c r="E154" t="str">
        <f t="shared" ca="1" si="2"/>
        <v>"2084306947" : "Yokohama DeNA BayStars",</v>
      </c>
    </row>
    <row r="155" spans="1:5" ht="15.75" customHeight="1">
      <c r="A155" s="6">
        <v>2084306946</v>
      </c>
      <c r="B155" s="7" t="s">
        <v>273</v>
      </c>
      <c r="C155" s="7" t="s">
        <v>274</v>
      </c>
      <c r="D155" s="3" t="str">
        <f ca="1">IFERROR(__xludf.DUMMYFUNCTION("GOOGLETRANSLATE(B155,""ja"",""vi"")"),"Hiroshima Toyo cá chép")</f>
        <v>Hiroshima Toyo cá chép</v>
      </c>
      <c r="E155" t="str">
        <f t="shared" ca="1" si="2"/>
        <v>"2084306946" : "Hiroshima Toyo cá chép",</v>
      </c>
    </row>
    <row r="156" spans="1:5" ht="15.75" customHeight="1">
      <c r="A156" s="6">
        <v>2084306945</v>
      </c>
      <c r="B156" s="7" t="s">
        <v>275</v>
      </c>
      <c r="C156" s="7" t="s">
        <v>276</v>
      </c>
      <c r="D156" s="3" t="str">
        <f ca="1">IFERROR(__xludf.DUMMYFUNCTION("GOOGLETRANSLATE(B156,""ja"",""vi"")"),"Hanshin Tigers")</f>
        <v>Hanshin Tigers</v>
      </c>
      <c r="E156" t="str">
        <f t="shared" ca="1" si="2"/>
        <v>"2084306945" : "Hanshin Tigers",</v>
      </c>
    </row>
    <row r="157" spans="1:5" ht="15.75" customHeight="1">
      <c r="A157" s="6">
        <v>2084306938</v>
      </c>
      <c r="B157" s="7" t="s">
        <v>277</v>
      </c>
      <c r="C157" s="7" t="s">
        <v>278</v>
      </c>
      <c r="D157" s="3" t="str">
        <f ca="1">IFERROR(__xludf.DUMMYFUNCTION("GOOGLETRANSLATE(B157,""ja"",""vi"")"),"Saitama Seibu Lions")</f>
        <v>Saitama Seibu Lions</v>
      </c>
      <c r="E157" t="str">
        <f t="shared" ca="1" si="2"/>
        <v>"2084306938" : "Saitama Seibu Lions",</v>
      </c>
    </row>
    <row r="158" spans="1:5" ht="15.75" customHeight="1">
      <c r="A158" s="6">
        <v>2084306941</v>
      </c>
      <c r="B158" s="7" t="s">
        <v>279</v>
      </c>
      <c r="C158" s="7" t="s">
        <v>280</v>
      </c>
      <c r="D158" s="3" t="str">
        <f ca="1">IFERROR(__xludf.DUMMYFUNCTION("GOOGLETRANSLATE(B158,""ja"",""vi"")"),"Chiba Lotte Marines")</f>
        <v>Chiba Lotte Marines</v>
      </c>
      <c r="E158" t="str">
        <f t="shared" ca="1" si="2"/>
        <v>"2084306941" : "Chiba Lotte Marines",</v>
      </c>
    </row>
    <row r="159" spans="1:5" ht="15.75" customHeight="1">
      <c r="A159" s="6">
        <v>2084306942</v>
      </c>
      <c r="B159" s="7" t="s">
        <v>281</v>
      </c>
      <c r="C159" s="7" t="s">
        <v>282</v>
      </c>
      <c r="D159" s="3" t="str">
        <f ca="1">IFERROR(__xludf.DUMMYFUNCTION("GOOGLETRANSLATE(B159,""ja"",""vi"")"),"Chunichi Dragons")</f>
        <v>Chunichi Dragons</v>
      </c>
      <c r="E159" t="str">
        <f t="shared" ca="1" si="2"/>
        <v>"2084306942" : "Chunichi Dragons",</v>
      </c>
    </row>
    <row r="160" spans="1:5" ht="15.75" customHeight="1">
      <c r="A160" s="6">
        <v>2084306943</v>
      </c>
      <c r="B160" s="7" t="s">
        <v>283</v>
      </c>
      <c r="C160" s="7" t="s">
        <v>284</v>
      </c>
      <c r="D160" s="3" t="str">
        <f ca="1">IFERROR(__xludf.DUMMYFUNCTION("GOOGLETRANSLATE(B160,""ja"",""vi"")"),"Tokyo Yakult Swallows")</f>
        <v>Tokyo Yakult Swallows</v>
      </c>
      <c r="E160" t="str">
        <f t="shared" ca="1" si="2"/>
        <v>"2084306943" : "Tokyo Yakult Swallows",</v>
      </c>
    </row>
    <row r="161" spans="1:5" ht="15.75" customHeight="1">
      <c r="A161" s="6">
        <v>2084306940</v>
      </c>
      <c r="B161" s="7" t="s">
        <v>285</v>
      </c>
      <c r="C161" s="7" t="s">
        <v>286</v>
      </c>
      <c r="D161" s="3" t="str">
        <f ca="1">IFERROR(__xludf.DUMMYFUNCTION("GOOGLETRANSLATE(B161,""ja"",""vi"")"),"Tohoku Rakuten Golden Eagles")</f>
        <v>Tohoku Rakuten Golden Eagles</v>
      </c>
      <c r="E161" t="str">
        <f t="shared" ca="1" si="2"/>
        <v>"2084306940" : "Tohoku Rakuten Golden Eagles",</v>
      </c>
    </row>
    <row r="162" spans="1:5" ht="15.75" customHeight="1">
      <c r="A162" s="6">
        <v>2084306944</v>
      </c>
      <c r="B162" s="7" t="s">
        <v>287</v>
      </c>
      <c r="C162" s="7" t="s">
        <v>288</v>
      </c>
      <c r="D162" s="3" t="str">
        <f ca="1">IFERROR(__xludf.DUMMYFUNCTION("GOOGLETRANSLATE(B162,""ja"",""vi"")"),"Yomiuri Giants")</f>
        <v>Yomiuri Giants</v>
      </c>
      <c r="E162" t="str">
        <f t="shared" ca="1" si="2"/>
        <v>"2084306944" : "Yomiuri Giants",</v>
      </c>
    </row>
    <row r="163" spans="1:5" ht="15.75" customHeight="1">
      <c r="A163" s="6">
        <v>2084306936</v>
      </c>
      <c r="B163" s="7" t="s">
        <v>289</v>
      </c>
      <c r="C163" s="7" t="s">
        <v>290</v>
      </c>
      <c r="D163" s="3" t="str">
        <f ca="1">IFERROR(__xludf.DUMMYFUNCTION("GOOGLETRANSLATE(B163,""ja"",""vi"")"),"Fukuoka Softbank Hawks")</f>
        <v>Fukuoka Softbank Hawks</v>
      </c>
      <c r="E163" t="str">
        <f t="shared" ca="1" si="2"/>
        <v>"2084306936" : "Fukuoka Softbank Hawks",</v>
      </c>
    </row>
    <row r="164" spans="1:5" ht="15.75" customHeight="1">
      <c r="A164" s="6">
        <v>2084306937</v>
      </c>
      <c r="B164" s="7" t="s">
        <v>291</v>
      </c>
      <c r="C164" s="7" t="s">
        <v>292</v>
      </c>
      <c r="D164" s="3" t="str">
        <f ca="1">IFERROR(__xludf.DUMMYFUNCTION("GOOGLETRANSLATE(B164,""ja"",""vi"")"),"Fighters Hokkaido Nippon Ham")</f>
        <v>Fighters Hokkaido Nippon Ham</v>
      </c>
      <c r="E164" t="str">
        <f t="shared" ca="1" si="2"/>
        <v>"2084306937" : "Fighters Hokkaido Nippon Ham",</v>
      </c>
    </row>
    <row r="165" spans="1:5" ht="15.75" customHeight="1">
      <c r="A165" s="6">
        <v>2084308286</v>
      </c>
      <c r="B165" s="7" t="s">
        <v>105</v>
      </c>
      <c r="C165" s="7" t="s">
        <v>293</v>
      </c>
      <c r="D165" s="3" t="str">
        <f ca="1">IFERROR(__xludf.DUMMYFUNCTION("GOOGLETRANSLATE(B165,""ja"",""vi"")"),"nếu không thì")</f>
        <v>nếu không thì</v>
      </c>
      <c r="E165" t="str">
        <f t="shared" ca="1" si="2"/>
        <v>"2084308286" : "nếu không thì",</v>
      </c>
    </row>
    <row r="166" spans="1:5" ht="15.75" customHeight="1">
      <c r="A166" s="6">
        <v>2084239883</v>
      </c>
      <c r="B166" s="7" t="s">
        <v>294</v>
      </c>
      <c r="C166" s="7" t="s">
        <v>295</v>
      </c>
      <c r="D166" s="3" t="str">
        <f ca="1">IFERROR(__xludf.DUMMYFUNCTION("GOOGLETRANSLATE(B166,""ja"",""vi"")"),"BBH1")</f>
        <v>BBH1</v>
      </c>
      <c r="E166" t="str">
        <f t="shared" ca="1" si="2"/>
        <v>"2084239883" : "BBH1",</v>
      </c>
    </row>
    <row r="167" spans="1:5" ht="15.75" customHeight="1">
      <c r="A167" s="6">
        <v>2084239884</v>
      </c>
      <c r="B167" s="7" t="s">
        <v>296</v>
      </c>
      <c r="C167" s="7" t="s">
        <v>297</v>
      </c>
      <c r="D167" s="3" t="str">
        <f ca="1">IFERROR(__xludf.DUMMYFUNCTION("GOOGLETRANSLATE(B167,""ja"",""vi"")"),"BBH2")</f>
        <v>BBH2</v>
      </c>
      <c r="E167" t="str">
        <f t="shared" ca="1" si="2"/>
        <v>"2084239884" : "BBH2",</v>
      </c>
    </row>
    <row r="168" spans="1:5" ht="15.75" customHeight="1">
      <c r="A168" s="6">
        <v>2084239885</v>
      </c>
      <c r="B168" s="7" t="s">
        <v>298</v>
      </c>
      <c r="C168" s="7" t="s">
        <v>299</v>
      </c>
      <c r="D168" s="3" t="str">
        <f ca="1">IFERROR(__xludf.DUMMYFUNCTION("GOOGLETRANSLATE(B168,""ja"",""vi"")"),"BBH3")</f>
        <v>BBH3</v>
      </c>
      <c r="E168" t="str">
        <f t="shared" ca="1" si="2"/>
        <v>"2084239885" : "BBH3",</v>
      </c>
    </row>
    <row r="169" spans="1:5" ht="15.75" customHeight="1">
      <c r="A169" s="6">
        <v>2084244718</v>
      </c>
      <c r="B169" s="7" t="s">
        <v>300</v>
      </c>
      <c r="C169" s="7" t="s">
        <v>301</v>
      </c>
      <c r="D169" s="3" t="str">
        <f ca="1">IFERROR(__xludf.DUMMYFUNCTION("GOOGLETRANSLATE(B169,""ja"",""vi"")"),"2008 sự thống trị")</f>
        <v>2008 sự thống trị</v>
      </c>
      <c r="E169" t="str">
        <f t="shared" ca="1" si="2"/>
        <v>"2084244718" : "2008 sự thống trị",</v>
      </c>
    </row>
    <row r="170" spans="1:5" ht="15.75" customHeight="1">
      <c r="A170" s="6">
        <v>2084244719</v>
      </c>
      <c r="B170" s="7" t="s">
        <v>302</v>
      </c>
      <c r="C170" s="7" t="s">
        <v>303</v>
      </c>
      <c r="D170" s="3" t="str">
        <f ca="1">IFERROR(__xludf.DUMMYFUNCTION("GOOGLETRANSLATE(B170,""ja"",""vi"")"),"nhà vô địch năm 2009")</f>
        <v>nhà vô địch năm 2009</v>
      </c>
      <c r="E170" t="str">
        <f t="shared" ca="1" si="2"/>
        <v>"2084244719" : "nhà vô địch năm 2009",</v>
      </c>
    </row>
    <row r="171" spans="1:5" ht="15.75" customHeight="1">
      <c r="A171" s="6">
        <v>2084305397</v>
      </c>
      <c r="B171" s="7" t="s">
        <v>304</v>
      </c>
      <c r="C171" s="7" t="s">
        <v>305</v>
      </c>
      <c r="D171" s="3" t="str">
        <f ca="1">IFERROR(__xludf.DUMMYFUNCTION("GOOGLETRANSLATE(B171,""ja"",""vi"")"),"BBH2010")</f>
        <v>BBH2010</v>
      </c>
      <c r="E171" t="str">
        <f t="shared" ca="1" si="2"/>
        <v>"2084305397" : "BBH2010",</v>
      </c>
    </row>
    <row r="172" spans="1:5" ht="15.75" customHeight="1">
      <c r="A172" s="6">
        <v>2084305398</v>
      </c>
      <c r="B172" s="7" t="s">
        <v>306</v>
      </c>
      <c r="C172" s="7" t="s">
        <v>307</v>
      </c>
      <c r="D172" s="3" t="str">
        <f ca="1">IFERROR(__xludf.DUMMYFUNCTION("GOOGLETRANSLATE(B172,""ja"",""vi"")"),"BBH2011")</f>
        <v>BBH2011</v>
      </c>
      <c r="E172" t="str">
        <f t="shared" ca="1" si="2"/>
        <v>"2084305398" : "BBH2011",</v>
      </c>
    </row>
    <row r="173" spans="1:5" ht="15.75" customHeight="1">
      <c r="A173" s="6">
        <v>2084309053</v>
      </c>
      <c r="B173" s="7" t="s">
        <v>308</v>
      </c>
      <c r="C173" s="7" t="s">
        <v>309</v>
      </c>
      <c r="D173" s="3" t="str">
        <f ca="1">IFERROR(__xludf.DUMMYFUNCTION("GOOGLETRANSLATE(B173,""ja"",""vi"")"),"BBH2012")</f>
        <v>BBH2012</v>
      </c>
      <c r="E173" t="str">
        <f t="shared" ca="1" si="2"/>
        <v>"2084309053" : "BBH2012",</v>
      </c>
    </row>
    <row r="174" spans="1:5" ht="15.75" customHeight="1">
      <c r="A174" s="6">
        <v>2084239886</v>
      </c>
      <c r="B174" s="7" t="s">
        <v>105</v>
      </c>
      <c r="C174" s="7" t="s">
        <v>310</v>
      </c>
      <c r="D174" s="3" t="str">
        <f ca="1">IFERROR(__xludf.DUMMYFUNCTION("GOOGLETRANSLATE(B174,""ja"",""vi"")"),"nếu không thì")</f>
        <v>nếu không thì</v>
      </c>
      <c r="E174" t="str">
        <f t="shared" ca="1" si="2"/>
        <v>"2084239886" : "nếu không thì",</v>
      </c>
    </row>
    <row r="175" spans="1:5" ht="15.75" customHeight="1">
      <c r="A175" s="6">
        <v>2084309054</v>
      </c>
      <c r="B175" s="7" t="s">
        <v>253</v>
      </c>
      <c r="C175" s="7" t="s">
        <v>311</v>
      </c>
      <c r="D175" s="3" t="str">
        <f ca="1">IFERROR(__xludf.DUMMYFUNCTION("GOOGLETRANSLATE(B175,""ja"",""vi"")"),"Thiết lập, Lots Bán buôn")</f>
        <v>Thiết lập, Lots Bán buôn</v>
      </c>
      <c r="E175" t="str">
        <f t="shared" ca="1" si="2"/>
        <v>"2084309054" : "Thiết lập, Lots Bán buôn",</v>
      </c>
    </row>
    <row r="176" spans="1:5" ht="15.75" customHeight="1">
      <c r="A176" s="6">
        <v>2084259476</v>
      </c>
      <c r="B176" s="7" t="s">
        <v>312</v>
      </c>
      <c r="C176" s="7" t="s">
        <v>313</v>
      </c>
      <c r="D176" s="3" t="str">
        <f ca="1">IFERROR(__xludf.DUMMYFUNCTION("GOOGLETRANSLATE(B176,""ja"",""vi"")"),"Pokemon Card Game LEGEND")</f>
        <v>Pokemon Card Game LEGEND</v>
      </c>
      <c r="E176" t="str">
        <f t="shared" ca="1" si="2"/>
        <v>"2084259476" : "Pokemon Card Game LEGEND",</v>
      </c>
    </row>
    <row r="177" spans="1:5" ht="15.75" customHeight="1">
      <c r="A177" s="6">
        <v>2084305399</v>
      </c>
      <c r="B177" s="7" t="s">
        <v>314</v>
      </c>
      <c r="C177" s="7" t="s">
        <v>315</v>
      </c>
      <c r="D177" s="3" t="str">
        <f ca="1">IFERROR(__xludf.DUMMYFUNCTION("GOOGLETRANSLATE(B177,""ja"",""vi"")"),"Pokemon Card Game BW")</f>
        <v>Pokemon Card Game BW</v>
      </c>
      <c r="E177" t="str">
        <f t="shared" ca="1" si="2"/>
        <v>"2084305399" : "Pokemon Card Game BW",</v>
      </c>
    </row>
    <row r="178" spans="1:5" ht="15.75" customHeight="1">
      <c r="A178" s="6">
        <v>2084259477</v>
      </c>
      <c r="B178" s="7" t="s">
        <v>316</v>
      </c>
      <c r="C178" s="7" t="s">
        <v>317</v>
      </c>
      <c r="D178" s="3" t="str">
        <f ca="1">IFERROR(__xludf.DUMMYFUNCTION("GOOGLETRANSLATE(B178,""ja"",""vi"")"),"Pokemon Card Game DP")</f>
        <v>Pokemon Card Game DP</v>
      </c>
      <c r="E178" t="str">
        <f t="shared" ca="1" si="2"/>
        <v>"2084259477" : "Pokemon Card Game DP",</v>
      </c>
    </row>
    <row r="179" spans="1:5" ht="15.75" customHeight="1">
      <c r="A179" s="6">
        <v>2084259478</v>
      </c>
      <c r="B179" s="7" t="s">
        <v>318</v>
      </c>
      <c r="C179" s="7" t="s">
        <v>319</v>
      </c>
      <c r="D179" s="3" t="str">
        <f ca="1">IFERROR(__xludf.DUMMYFUNCTION("GOOGLETRANSLATE(B179,""ja"",""vi"")"),"Pokemon trò chơi thẻ DPT")</f>
        <v>Pokemon trò chơi thẻ DPT</v>
      </c>
      <c r="E179" t="str">
        <f t="shared" ca="1" si="2"/>
        <v>"2084259478" : "Pokemon trò chơi thẻ DPT",</v>
      </c>
    </row>
    <row r="180" spans="1:5" ht="15.75" customHeight="1">
      <c r="A180" s="6">
        <v>2084259479</v>
      </c>
      <c r="B180" s="7" t="s">
        <v>105</v>
      </c>
      <c r="C180" s="7" t="s">
        <v>320</v>
      </c>
      <c r="D180" s="3" t="str">
        <f ca="1">IFERROR(__xludf.DUMMYFUNCTION("GOOGLETRANSLATE(B180,""ja"",""vi"")"),"nếu không thì")</f>
        <v>nếu không thì</v>
      </c>
      <c r="E180" t="str">
        <f t="shared" ca="1" si="2"/>
        <v>"2084259479" : "nếu không thì",</v>
      </c>
    </row>
    <row r="181" spans="1:5" ht="15.75" customHeight="1">
      <c r="A181" s="6">
        <v>2084242928</v>
      </c>
      <c r="B181" s="7" t="s">
        <v>321</v>
      </c>
      <c r="C181" s="7" t="s">
        <v>322</v>
      </c>
      <c r="D181" s="3" t="str">
        <f ca="1">IFERROR(__xludf.DUMMYFUNCTION("GOOGLETRANSLATE(B181,""ja"",""vi"")"),"gói bình thường")</f>
        <v>gói bình thường</v>
      </c>
      <c r="E181" t="str">
        <f t="shared" ca="1" si="2"/>
        <v>"2084242928" : "gói bình thường",</v>
      </c>
    </row>
    <row r="182" spans="1:5" ht="15.75" customHeight="1">
      <c r="A182" s="6">
        <v>2084242929</v>
      </c>
      <c r="B182" s="7" t="s">
        <v>323</v>
      </c>
      <c r="C182" s="7" t="s">
        <v>324</v>
      </c>
      <c r="D182" s="3" t="str">
        <f ca="1">IFERROR(__xludf.DUMMYFUNCTION("GOOGLETRANSLATE(B182,""ja"",""vi"")"),"siêu Gói")</f>
        <v>siêu Gói</v>
      </c>
      <c r="E182" t="str">
        <f t="shared" ca="1" si="2"/>
        <v>"2084242929" : "siêu Gói",</v>
      </c>
    </row>
    <row r="183" spans="1:5" ht="15.75" customHeight="1">
      <c r="A183" s="6">
        <v>2084242930</v>
      </c>
      <c r="B183" s="7" t="s">
        <v>325</v>
      </c>
      <c r="C183" s="7" t="s">
        <v>326</v>
      </c>
      <c r="D183" s="3" t="str">
        <f ca="1">IFERROR(__xludf.DUMMYFUNCTION("GOOGLETRANSLATE(B183,""ja"",""vi"")"),"Hyper-pack")</f>
        <v>Hyper-pack</v>
      </c>
      <c r="E183" t="str">
        <f t="shared" ca="1" si="2"/>
        <v>"2084242930" : "Hyper-pack",</v>
      </c>
    </row>
    <row r="184" spans="1:5" ht="15.75" customHeight="1">
      <c r="A184" s="6">
        <v>2084242931</v>
      </c>
      <c r="B184" s="7" t="s">
        <v>327</v>
      </c>
      <c r="C184" s="7" t="s">
        <v>328</v>
      </c>
      <c r="D184" s="3" t="str">
        <f ca="1">IFERROR(__xludf.DUMMYFUNCTION("GOOGLETRANSLATE(B184,""ja"",""vi"")"),"gói Thạc sĩ")</f>
        <v>gói Thạc sĩ</v>
      </c>
      <c r="E184" t="str">
        <f t="shared" ca="1" si="2"/>
        <v>"2084242931" : "gói Thạc sĩ",</v>
      </c>
    </row>
    <row r="185" spans="1:5" ht="15.75" customHeight="1">
      <c r="A185" s="6">
        <v>2084242932</v>
      </c>
      <c r="B185" s="7" t="s">
        <v>105</v>
      </c>
      <c r="C185" s="7" t="s">
        <v>329</v>
      </c>
      <c r="D185" s="3" t="str">
        <f ca="1">IFERROR(__xludf.DUMMYFUNCTION("GOOGLETRANSLATE(B185,""ja"",""vi"")"),"nếu không thì")</f>
        <v>nếu không thì</v>
      </c>
      <c r="E185" t="str">
        <f t="shared" ca="1" si="2"/>
        <v>"2084242932" : "nếu không thì",</v>
      </c>
    </row>
    <row r="186" spans="1:5" ht="15.75" customHeight="1">
      <c r="A186" s="6">
        <v>2084309067</v>
      </c>
      <c r="B186" s="7" t="s">
        <v>253</v>
      </c>
      <c r="C186" s="7" t="s">
        <v>330</v>
      </c>
      <c r="D186" s="3" t="str">
        <f ca="1">IFERROR(__xludf.DUMMYFUNCTION("GOOGLETRANSLATE(B186,""ja"",""vi"")"),"Thiết lập, Lots Bán buôn")</f>
        <v>Thiết lập, Lots Bán buôn</v>
      </c>
      <c r="E186" t="str">
        <f t="shared" ca="1" si="2"/>
        <v>"2084309067" : "Thiết lập, Lots Bán buôn",</v>
      </c>
    </row>
    <row r="187" spans="1:5" ht="15.75" customHeight="1">
      <c r="A187" s="6">
        <v>2084309057</v>
      </c>
      <c r="B187" s="7" t="s">
        <v>331</v>
      </c>
      <c r="C187" s="7" t="s">
        <v>332</v>
      </c>
      <c r="D187" s="3" t="str">
        <f ca="1">IFERROR(__xludf.DUMMYFUNCTION("GOOGLETRANSLATE(B187,""ja"",""vi"")"),"thẻ foil")</f>
        <v>thẻ foil</v>
      </c>
      <c r="E187" t="str">
        <f t="shared" ca="1" si="2"/>
        <v>"2084309057" : "thẻ foil",</v>
      </c>
    </row>
    <row r="188" spans="1:5" ht="15.75" customHeight="1">
      <c r="A188" s="6">
        <v>26819</v>
      </c>
      <c r="B188" s="7" t="s">
        <v>333</v>
      </c>
      <c r="C188" s="7" t="s">
        <v>334</v>
      </c>
      <c r="D188" s="3" t="str">
        <f ca="1">IFERROR(__xludf.DUMMYFUNCTION("GOOGLETRANSLATE(B188,""ja"",""vi"")"),"thẻ Độc thân")</f>
        <v>thẻ Độc thân</v>
      </c>
      <c r="E188" t="str">
        <f t="shared" ca="1" si="2"/>
        <v>"26819" : "thẻ Độc thân",</v>
      </c>
    </row>
    <row r="189" spans="1:5" ht="15.75" customHeight="1">
      <c r="A189" s="6">
        <v>2084018775</v>
      </c>
      <c r="B189" s="7" t="s">
        <v>202</v>
      </c>
      <c r="C189" s="7" t="s">
        <v>335</v>
      </c>
      <c r="D189" s="3" t="str">
        <f ca="1">IFERROR(__xludf.DUMMYFUNCTION("GOOGLETRANSLATE(B189,""ja"",""vi"")"),"hộp")</f>
        <v>hộp</v>
      </c>
      <c r="E189" t="str">
        <f t="shared" ca="1" si="2"/>
        <v>"2084018775" : "hộp",</v>
      </c>
    </row>
    <row r="190" spans="1:5" ht="15.75" customHeight="1">
      <c r="A190" s="6">
        <v>2084309069</v>
      </c>
      <c r="B190" s="7" t="s">
        <v>253</v>
      </c>
      <c r="C190" s="7" t="s">
        <v>336</v>
      </c>
      <c r="D190" s="3" t="str">
        <f ca="1">IFERROR(__xludf.DUMMYFUNCTION("GOOGLETRANSLATE(B190,""ja"",""vi"")"),"Thiết lập, Lots Bán buôn")</f>
        <v>Thiết lập, Lots Bán buôn</v>
      </c>
      <c r="E190" t="str">
        <f t="shared" ca="1" si="2"/>
        <v>"2084309069" : "Thiết lập, Lots Bán buôn",</v>
      </c>
    </row>
    <row r="191" spans="1:5" ht="15.75" customHeight="1">
      <c r="A191" s="6">
        <v>2084309380</v>
      </c>
      <c r="B191" s="7" t="s">
        <v>337</v>
      </c>
      <c r="C191" s="7" t="s">
        <v>338</v>
      </c>
      <c r="D191" s="3" t="str">
        <f ca="1">IFERROR(__xludf.DUMMYFUNCTION("GOOGLETRANSLATE(B191,""ja"",""vi"")"),"DUEL TERMINAL")</f>
        <v>DUEL TERMINAL</v>
      </c>
      <c r="E191" t="str">
        <f t="shared" ca="1" si="2"/>
        <v>"2084309380" : "DUEL TERMINAL",</v>
      </c>
    </row>
    <row r="192" spans="1:5" ht="15.75" customHeight="1">
      <c r="A192" s="6">
        <v>2084309381</v>
      </c>
      <c r="B192" s="7" t="s">
        <v>339</v>
      </c>
      <c r="C192" s="7" t="s">
        <v>340</v>
      </c>
      <c r="D192" s="3" t="str">
        <f ca="1">IFERROR(__xludf.DUMMYFUNCTION("GOOGLETRANSLATE(B192,""ja"",""vi"")"),"Duelist Gói")</f>
        <v>Duelist Gói</v>
      </c>
      <c r="E192" t="str">
        <f t="shared" ca="1" si="2"/>
        <v>"2084309381" : "Duelist Gói",</v>
      </c>
    </row>
    <row r="193" spans="1:5" ht="15.75" customHeight="1">
      <c r="A193" s="6">
        <v>2084309433</v>
      </c>
      <c r="B193" s="7" t="s">
        <v>341</v>
      </c>
      <c r="C193" s="7" t="s">
        <v>342</v>
      </c>
      <c r="D193" s="3" t="str">
        <f ca="1">IFERROR(__xludf.DUMMYFUNCTION("GOOGLETRANSLATE(B193,""ja"",""vi"")"),"boong cấu trúc")</f>
        <v>boong cấu trúc</v>
      </c>
      <c r="E193" t="str">
        <f t="shared" ca="1" si="2"/>
        <v>"2084309433" : "boong cấu trúc",</v>
      </c>
    </row>
    <row r="194" spans="1:5" ht="15.75" customHeight="1">
      <c r="A194" s="6">
        <v>2084309382</v>
      </c>
      <c r="B194" s="7" t="s">
        <v>343</v>
      </c>
      <c r="C194" s="7" t="s">
        <v>344</v>
      </c>
      <c r="D194" s="3" t="str">
        <f ca="1">IFERROR(__xludf.DUMMYFUNCTION("GOOGLETRANSLATE(B194,""ja"",""vi"")"),"Năm Deeds Dòng")</f>
        <v>Năm Deeds Dòng</v>
      </c>
      <c r="E194" t="str">
        <f t="shared" ref="E194:E257" ca="1" si="3">CONCATENATE(CHAR(34)&amp;"",A194,""&amp;CHAR(34)," : ", CHAR(34)&amp;"",D194,""&amp;CHAR(34),",")</f>
        <v>"2084309382" : "Năm Deeds Dòng",</v>
      </c>
    </row>
    <row r="195" spans="1:5" ht="15.75" customHeight="1">
      <c r="A195" s="6">
        <v>2084309383</v>
      </c>
      <c r="B195" s="7" t="s">
        <v>345</v>
      </c>
      <c r="C195" s="7" t="s">
        <v>346</v>
      </c>
      <c r="D195" s="3" t="str">
        <f ca="1">IFERROR(__xludf.DUMMYFUNCTION("GOOGLETRANSLATE(B195,""ja"",""vi"")"),"Duel Monsters loạt")</f>
        <v>Duel Monsters loạt</v>
      </c>
      <c r="E195" t="str">
        <f t="shared" ca="1" si="3"/>
        <v>"2084309383" : "Duel Monsters loạt",</v>
      </c>
    </row>
    <row r="196" spans="1:5" ht="15.75" customHeight="1">
      <c r="A196" s="6">
        <v>2084309068</v>
      </c>
      <c r="B196" s="7" t="s">
        <v>347</v>
      </c>
      <c r="C196" s="7" t="s">
        <v>348</v>
      </c>
      <c r="D196" s="3" t="str">
        <f ca="1">IFERROR(__xludf.DUMMYFUNCTION("GOOGLETRANSLATE(B196,""ja"",""vi"")"),"xyz")</f>
        <v>xyz</v>
      </c>
      <c r="E196" t="str">
        <f t="shared" ca="1" si="3"/>
        <v>"2084309068" : "xyz",</v>
      </c>
    </row>
    <row r="197" spans="1:5" ht="15.75" customHeight="1">
      <c r="A197" s="6">
        <v>2084252616</v>
      </c>
      <c r="B197" s="7" t="s">
        <v>349</v>
      </c>
      <c r="C197" s="7" t="s">
        <v>350</v>
      </c>
      <c r="D197" s="3" t="str">
        <f ca="1">IFERROR(__xludf.DUMMYFUNCTION("GOOGLETRANSLATE(B197,""ja"",""vi"")"),"phiên bản quốc tế")</f>
        <v>phiên bản quốc tế</v>
      </c>
      <c r="E197" t="str">
        <f t="shared" ca="1" si="3"/>
        <v>"2084252616" : "phiên bản quốc tế",</v>
      </c>
    </row>
    <row r="198" spans="1:5" ht="15.75" customHeight="1">
      <c r="A198" s="6">
        <v>2084019467</v>
      </c>
      <c r="B198" s="7" t="s">
        <v>351</v>
      </c>
      <c r="C198" s="7" t="s">
        <v>352</v>
      </c>
      <c r="D198" s="3" t="str">
        <f ca="1">IFERROR(__xludf.DUMMYFUNCTION("GOOGLETRANSLATE(B198,""ja"",""vi"")"),"Phiên bản giới hạn, không phải để bán")</f>
        <v>Phiên bản giới hạn, không phải để bán</v>
      </c>
      <c r="E198" t="str">
        <f t="shared" ca="1" si="3"/>
        <v>"2084019467" : "Phiên bản giới hạn, không phải để bán",</v>
      </c>
    </row>
    <row r="199" spans="1:5" ht="15.75" customHeight="1">
      <c r="A199" s="6">
        <v>2084032557</v>
      </c>
      <c r="B199" s="7" t="s">
        <v>105</v>
      </c>
      <c r="C199" s="7" t="s">
        <v>353</v>
      </c>
      <c r="D199" s="3" t="str">
        <f ca="1">IFERROR(__xludf.DUMMYFUNCTION("GOOGLETRANSLATE(B199,""ja"",""vi"")"),"nếu không thì")</f>
        <v>nếu không thì</v>
      </c>
      <c r="E199" t="str">
        <f t="shared" ca="1" si="3"/>
        <v>"2084032557" : "nếu không thì",</v>
      </c>
    </row>
    <row r="200" spans="1:5" ht="15.75" customHeight="1">
      <c r="A200" s="6">
        <v>25826</v>
      </c>
      <c r="B200" s="7" t="s">
        <v>354</v>
      </c>
      <c r="C200" s="7" t="s">
        <v>355</v>
      </c>
      <c r="D200" s="3" t="str">
        <f ca="1">IFERROR(__xludf.DUMMYFUNCTION("GOOGLETRANSLATE(B200,""ja"",""vi"")"),"Trading Card Game")</f>
        <v>Trading Card Game</v>
      </c>
      <c r="E200" t="str">
        <f t="shared" ca="1" si="3"/>
        <v>"25826" : "Trading Card Game",</v>
      </c>
    </row>
    <row r="201" spans="1:5" ht="15.75" customHeight="1">
      <c r="A201" s="6">
        <v>21020</v>
      </c>
      <c r="B201" s="7" t="s">
        <v>356</v>
      </c>
      <c r="C201" s="7" t="s">
        <v>357</v>
      </c>
      <c r="D201" s="3" t="str">
        <f ca="1">IFERROR(__xludf.DUMMYFUNCTION("GOOGLETRANSLATE(B201,""ja"",""vi"")"),"Truyện tranh, hoạt hình")</f>
        <v>Truyện tranh, hoạt hình</v>
      </c>
      <c r="E201" t="str">
        <f t="shared" ca="1" si="3"/>
        <v>"21020" : "Truyện tranh, hoạt hình",</v>
      </c>
    </row>
    <row r="202" spans="1:5" ht="15.75" customHeight="1">
      <c r="A202" s="6">
        <v>2084006003</v>
      </c>
      <c r="B202" s="7" t="s">
        <v>170</v>
      </c>
      <c r="C202" s="7" t="s">
        <v>358</v>
      </c>
      <c r="D202" s="3" t="str">
        <f ca="1">IFERROR(__xludf.DUMMYFUNCTION("GOOGLETRANSLATE(B202,""ja"",""vi"")"),"thể thao")</f>
        <v>thể thao</v>
      </c>
      <c r="E202" t="str">
        <f t="shared" ca="1" si="3"/>
        <v>"2084006003" : "thể thao",</v>
      </c>
    </row>
    <row r="203" spans="1:5" ht="15.75" customHeight="1">
      <c r="A203" s="6">
        <v>2084006042</v>
      </c>
      <c r="B203" s="7" t="s">
        <v>359</v>
      </c>
      <c r="C203" s="7" t="s">
        <v>360</v>
      </c>
      <c r="D203" s="3" t="str">
        <f ca="1">IFERROR(__xludf.DUMMYFUNCTION("GOOGLETRANSLATE(B203,""ja"",""vi"")"),"năng lực")</f>
        <v>năng lực</v>
      </c>
      <c r="E203" t="str">
        <f t="shared" ca="1" si="3"/>
        <v>"2084006042" : "năng lực",</v>
      </c>
    </row>
    <row r="204" spans="1:5" ht="15.75" customHeight="1">
      <c r="A204" s="6">
        <v>2084006008</v>
      </c>
      <c r="B204" s="7" t="s">
        <v>179</v>
      </c>
      <c r="C204" s="7" t="s">
        <v>361</v>
      </c>
      <c r="D204" s="3" t="str">
        <f ca="1">IFERROR(__xludf.DUMMYFUNCTION("GOOGLETRANSLATE(B204,""ja"",""vi"")"),"Mã số trò chơi")</f>
        <v>Mã số trò chơi</v>
      </c>
      <c r="E204" t="str">
        <f t="shared" ca="1" si="3"/>
        <v>"2084006008" : "Mã số trò chơi",</v>
      </c>
    </row>
    <row r="205" spans="1:5" ht="15.75" customHeight="1">
      <c r="A205" s="6">
        <v>2084006088</v>
      </c>
      <c r="B205" s="7" t="s">
        <v>362</v>
      </c>
      <c r="C205" s="7" t="s">
        <v>363</v>
      </c>
      <c r="D205" s="3" t="str">
        <f ca="1">IFERROR(__xludf.DUMMYFUNCTION("GOOGLETRANSLATE(B205,""ja"",""vi"")"),"nhạc sĩ")</f>
        <v>nhạc sĩ</v>
      </c>
      <c r="E205" t="str">
        <f t="shared" ca="1" si="3"/>
        <v>"2084006088" : "nhạc sĩ",</v>
      </c>
    </row>
    <row r="206" spans="1:5" ht="15.75" customHeight="1">
      <c r="A206" s="6">
        <v>2084007536</v>
      </c>
      <c r="B206" s="7" t="s">
        <v>364</v>
      </c>
      <c r="C206" s="7" t="s">
        <v>365</v>
      </c>
      <c r="D206" s="3" t="str">
        <f ca="1">IFERROR(__xludf.DUMMYFUNCTION("GOOGLETRANSLATE(B206,""ja"",""vi"")"),"horseracing")</f>
        <v>horseracing</v>
      </c>
      <c r="E206" t="str">
        <f t="shared" ca="1" si="3"/>
        <v>"2084007536" : "horseracing",</v>
      </c>
    </row>
    <row r="207" spans="1:5" ht="15.75" customHeight="1">
      <c r="A207" s="6">
        <v>2084006025</v>
      </c>
      <c r="B207" s="7" t="s">
        <v>366</v>
      </c>
      <c r="C207" s="7" t="s">
        <v>367</v>
      </c>
      <c r="D207" s="3" t="str">
        <f ca="1">IFERROR(__xludf.DUMMYFUNCTION("GOOGLETRANSLATE(B207,""ja"",""vi"")"),"hiệu ứng đặc biệt")</f>
        <v>hiệu ứng đặc biệt</v>
      </c>
      <c r="E207" t="str">
        <f t="shared" ca="1" si="3"/>
        <v>"2084006025" : "hiệu ứng đặc biệt",</v>
      </c>
    </row>
    <row r="208" spans="1:5" ht="15.75" customHeight="1">
      <c r="A208" s="6">
        <v>21056</v>
      </c>
      <c r="B208" s="7" t="s">
        <v>105</v>
      </c>
      <c r="C208" s="7" t="s">
        <v>368</v>
      </c>
      <c r="D208" s="3" t="str">
        <f ca="1">IFERROR(__xludf.DUMMYFUNCTION("GOOGLETRANSLATE(B208,""ja"",""vi"")"),"nếu không thì")</f>
        <v>nếu không thì</v>
      </c>
      <c r="E208" t="str">
        <f t="shared" ca="1" si="3"/>
        <v>"21056" : "nếu không thì",</v>
      </c>
    </row>
    <row r="209" spans="1:5" ht="15.75" customHeight="1">
      <c r="A209" s="6">
        <v>2084309072</v>
      </c>
      <c r="B209" s="7" t="s">
        <v>369</v>
      </c>
      <c r="C209" s="7" t="s">
        <v>370</v>
      </c>
      <c r="D209" s="3" t="str">
        <f ca="1">IFERROR(__xludf.DUMMYFUNCTION("GOOGLETRANSLATE(B209,""ja"",""vi"")"),"AR Carddass")</f>
        <v>AR Carddass</v>
      </c>
      <c r="E209" t="str">
        <f t="shared" ca="1" si="3"/>
        <v>"2084309072" : "AR Carddass",</v>
      </c>
    </row>
    <row r="210" spans="1:5" ht="15.75" customHeight="1">
      <c r="A210" s="6">
        <v>2084309071</v>
      </c>
      <c r="B210" s="7" t="s">
        <v>371</v>
      </c>
      <c r="C210" s="7" t="s">
        <v>372</v>
      </c>
      <c r="D210" s="3" t="str">
        <f ca="1">IFERROR(__xludf.DUMMYFUNCTION("GOOGLETRANSLATE(B210,""ja"",""vi"")"),"Berry trận đấu Icy")</f>
        <v>Berry trận đấu Icy</v>
      </c>
      <c r="E210" t="str">
        <f t="shared" ca="1" si="3"/>
        <v>"2084309071" : "Berry trận đấu Icy",</v>
      </c>
    </row>
    <row r="211" spans="1:5" ht="15.75" customHeight="1">
      <c r="A211" s="6">
        <v>2084259105</v>
      </c>
      <c r="B211" s="7" t="s">
        <v>373</v>
      </c>
      <c r="C211" s="7" t="s">
        <v>374</v>
      </c>
      <c r="D211" s="3" t="str">
        <f ca="1">IFERROR(__xludf.DUMMYFUNCTION("GOOGLETRANSLATE(B211,""ja"",""vi"")"),"Berry trận đấu đôi")</f>
        <v>Berry trận đấu đôi</v>
      </c>
      <c r="E211" t="str">
        <f t="shared" ca="1" si="3"/>
        <v>"2084259105" : "Berry trận đấu đôi",</v>
      </c>
    </row>
    <row r="212" spans="1:5" ht="15.75" customHeight="1">
      <c r="A212" s="6">
        <v>2084309070</v>
      </c>
      <c r="B212" s="7" t="s">
        <v>250</v>
      </c>
      <c r="C212" s="7" t="s">
        <v>375</v>
      </c>
      <c r="D212" s="3" t="str">
        <f ca="1">IFERROR(__xludf.DUMMYFUNCTION("GOOGLETRANSLATE(B212,""ja"",""vi"")"),"Miracle Trận Carddass")</f>
        <v>Miracle Trận Carddass</v>
      </c>
      <c r="E212" t="str">
        <f t="shared" ca="1" si="3"/>
        <v>"2084309070" : "Miracle Trận Carddass",</v>
      </c>
    </row>
    <row r="213" spans="1:5" ht="15.75" customHeight="1">
      <c r="A213" s="6">
        <v>2084259106</v>
      </c>
      <c r="B213" s="7" t="s">
        <v>105</v>
      </c>
      <c r="C213" s="7" t="s">
        <v>376</v>
      </c>
      <c r="D213" s="3" t="str">
        <f ca="1">IFERROR(__xludf.DUMMYFUNCTION("GOOGLETRANSLATE(B213,""ja"",""vi"")"),"nếu không thì")</f>
        <v>nếu không thì</v>
      </c>
      <c r="E213" t="str">
        <f t="shared" ca="1" si="3"/>
        <v>"2084259106" : "nếu không thì",</v>
      </c>
    </row>
    <row r="214" spans="1:5" ht="15.75" customHeight="1">
      <c r="A214" s="6">
        <v>2084040574</v>
      </c>
      <c r="B214" s="7" t="s">
        <v>377</v>
      </c>
      <c r="C214" s="7" t="s">
        <v>378</v>
      </c>
      <c r="D214" s="3" t="str">
        <f ca="1">IFERROR(__xludf.DUMMYFUNCTION("GOOGLETRANSLATE(B214,""ja"",""vi"")"),"AKIRA")</f>
        <v>AKIRA</v>
      </c>
      <c r="E214" t="str">
        <f t="shared" ca="1" si="3"/>
        <v>"2084040574" : "AKIRA",</v>
      </c>
    </row>
    <row r="215" spans="1:5" ht="15.75" customHeight="1">
      <c r="A215" s="6">
        <v>2084305367</v>
      </c>
      <c r="B215" s="7" t="s">
        <v>379</v>
      </c>
      <c r="C215" s="7" t="s">
        <v>380</v>
      </c>
      <c r="D215" s="3" t="str">
        <f ca="1">IFERROR(__xludf.DUMMYFUNCTION("GOOGLETRANSLATE(B215,""ja"",""vi"")"),"IS &lt;Infinite Stratos&gt;")</f>
        <v>IS &lt;Infinite Stratos&gt;</v>
      </c>
      <c r="E215" t="str">
        <f t="shared" ca="1" si="3"/>
        <v>"2084305367" : "IS &lt;Infinite Stratos&gt;",</v>
      </c>
    </row>
    <row r="216" spans="1:5" ht="15.75" customHeight="1">
      <c r="A216" s="6">
        <v>2084023784</v>
      </c>
      <c r="B216" s="7" t="s">
        <v>381</v>
      </c>
      <c r="C216" s="7" t="s">
        <v>382</v>
      </c>
      <c r="D216" s="3" t="str">
        <f ca="1">IFERROR(__xludf.DUMMYFUNCTION("GOOGLETRANSLATE(B216,""ja"",""vi"")"),"Urusei Yatsura")</f>
        <v>Urusei Yatsura</v>
      </c>
      <c r="E216" t="str">
        <f t="shared" ca="1" si="3"/>
        <v>"2084023784" : "Urusei Yatsura",</v>
      </c>
    </row>
    <row r="217" spans="1:5" ht="15.75" customHeight="1">
      <c r="A217" s="6">
        <v>2084222804</v>
      </c>
      <c r="B217" s="7" t="s">
        <v>383</v>
      </c>
      <c r="C217" s="7" t="s">
        <v>384</v>
      </c>
      <c r="D217" s="3" t="str">
        <f ca="1">IFERROR(__xludf.DUMMYFUNCTION("GOOGLETRANSLATE(B217,""ja"",""vi"")"),"Ikki")</f>
        <v>Ikki</v>
      </c>
      <c r="E217" t="str">
        <f t="shared" ca="1" si="3"/>
        <v>"2084222804" : "Ikki",</v>
      </c>
    </row>
    <row r="218" spans="1:5" ht="15.75" customHeight="1">
      <c r="A218" s="6">
        <v>2084040580</v>
      </c>
      <c r="B218" s="7" t="s">
        <v>385</v>
      </c>
      <c r="C218" s="7" t="s">
        <v>386</v>
      </c>
      <c r="D218" s="3" t="str">
        <f ca="1">IFERROR(__xludf.DUMMYFUNCTION("GOOGLETRANSLATE(B218,""ja"",""vi"")"),"Space Battleship Yamato")</f>
        <v>Space Battleship Yamato</v>
      </c>
      <c r="E218" t="str">
        <f t="shared" ca="1" si="3"/>
        <v>"2084040580" : "Space Battleship Yamato",</v>
      </c>
    </row>
    <row r="219" spans="1:5" ht="15.75" customHeight="1">
      <c r="A219" s="6">
        <v>2084315983</v>
      </c>
      <c r="B219" s="7" t="s">
        <v>387</v>
      </c>
      <c r="C219" s="7" t="s">
        <v>388</v>
      </c>
      <c r="D219" s="3" t="str">
        <f ca="1">IFERROR(__xludf.DUMMYFUNCTION("GOOGLETRANSLATE(B219,""ja"",""vi"")"),"Osomatsu của")</f>
        <v>Osomatsu của</v>
      </c>
      <c r="E219" t="str">
        <f t="shared" ca="1" si="3"/>
        <v>"2084315983" : "Osomatsu của",</v>
      </c>
    </row>
    <row r="220" spans="1:5" ht="15.75" customHeight="1">
      <c r="A220" s="6">
        <v>2084305368</v>
      </c>
      <c r="B220" s="7" t="s">
        <v>389</v>
      </c>
      <c r="C220" s="7" t="s">
        <v>390</v>
      </c>
      <c r="D220" s="3" t="str">
        <f ca="1">IFERROR(__xludf.DUMMYFUNCTION("GOOGLETRANSLATE(B220,""ja"",""vi"")"),"Chị không có lý do rất dễ thương")</f>
        <v>Chị không có lý do rất dễ thương</v>
      </c>
      <c r="E220" t="str">
        <f t="shared" ca="1" si="3"/>
        <v>"2084305368" : "Chị không có lý do rất dễ thương",</v>
      </c>
    </row>
    <row r="221" spans="1:5" ht="15.75" customHeight="1">
      <c r="A221" s="6">
        <v>2084259896</v>
      </c>
      <c r="B221" s="7" t="s">
        <v>391</v>
      </c>
      <c r="C221" s="7" t="s">
        <v>392</v>
      </c>
      <c r="D221" s="3" t="str">
        <f ca="1">IFERROR(__xludf.DUMMYFUNCTION("GOOGLETRANSLATE(B221,""ja"",""vi"")"),"K-ON!")</f>
        <v>K-ON!</v>
      </c>
      <c r="E221" t="str">
        <f t="shared" ca="1" si="3"/>
        <v>"2084259896" : "K-ON!",</v>
      </c>
    </row>
    <row r="222" spans="1:5" ht="15.75" customHeight="1">
      <c r="A222" s="6">
        <v>2084023728</v>
      </c>
      <c r="B222" s="7" t="s">
        <v>393</v>
      </c>
      <c r="C222" s="7" t="s">
        <v>394</v>
      </c>
      <c r="D222" s="3" t="str">
        <f ca="1">IFERROR(__xludf.DUMMYFUNCTION("GOOGLETRANSLATE(B222,""ja"",""vi"")"),"Gundam")</f>
        <v>Gundam</v>
      </c>
      <c r="E222" t="str">
        <f t="shared" ca="1" si="3"/>
        <v>"2084023728" : "Gundam",</v>
      </c>
    </row>
    <row r="223" spans="1:5" ht="15.75" customHeight="1">
      <c r="A223" s="6">
        <v>2084040582</v>
      </c>
      <c r="B223" s="7" t="s">
        <v>395</v>
      </c>
      <c r="C223" s="7" t="s">
        <v>396</v>
      </c>
      <c r="D223" s="3" t="str">
        <f ca="1">IFERROR(__xludf.DUMMYFUNCTION("GOOGLETRANSLATE(B223,""ja"",""vi"")"),"Cutie Honey")</f>
        <v>Cutie Honey</v>
      </c>
      <c r="E223" t="str">
        <f t="shared" ca="1" si="3"/>
        <v>"2084040582" : "Cutie Honey",</v>
      </c>
    </row>
    <row r="224" spans="1:5" ht="15.75" customHeight="1">
      <c r="A224" s="6">
        <v>2084023766</v>
      </c>
      <c r="B224" s="7" t="s">
        <v>397</v>
      </c>
      <c r="C224" s="7" t="s">
        <v>398</v>
      </c>
      <c r="D224" s="3" t="str">
        <f ca="1">IFERROR(__xludf.DUMMYFUNCTION("GOOGLETRANSLATE(B224,""ja"",""vi"")"),"Kinnikuman")</f>
        <v>Kinnikuman</v>
      </c>
      <c r="E224" t="str">
        <f t="shared" ca="1" si="3"/>
        <v>"2084023766" : "Kinnikuman",</v>
      </c>
    </row>
    <row r="225" spans="1:5" ht="15.75" customHeight="1">
      <c r="A225" s="6">
        <v>2084236114</v>
      </c>
      <c r="B225" s="7" t="s">
        <v>399</v>
      </c>
      <c r="C225" s="7" t="s">
        <v>400</v>
      </c>
      <c r="D225" s="3" t="str">
        <f ca="1">IFERROR(__xludf.DUMMYFUNCTION("GOOGLETRANSLATE(B225,""ja"",""vi"")"),"Đóng WORST")</f>
        <v>Đóng WORST</v>
      </c>
      <c r="E225" t="str">
        <f t="shared" ca="1" si="3"/>
        <v>"2084236114" : "Đóng WORST",</v>
      </c>
    </row>
    <row r="226" spans="1:5" ht="15.75" customHeight="1">
      <c r="A226" s="6">
        <v>2084062241</v>
      </c>
      <c r="B226" s="7" t="s">
        <v>401</v>
      </c>
      <c r="C226" s="7" t="s">
        <v>402</v>
      </c>
      <c r="D226" s="3" t="str">
        <f ca="1">IFERROR(__xludf.DUMMYFUNCTION("GOOGLETRANSLATE(B226,""ja"",""vi"")"),"Keroro")</f>
        <v>Keroro</v>
      </c>
      <c r="E226" t="str">
        <f t="shared" ca="1" si="3"/>
        <v>"2084062241" : "Keroro",</v>
      </c>
    </row>
    <row r="227" spans="1:5" ht="15.75" customHeight="1">
      <c r="A227" s="6">
        <v>2084236120</v>
      </c>
      <c r="B227" s="7" t="s">
        <v>403</v>
      </c>
      <c r="C227" s="7" t="s">
        <v>404</v>
      </c>
      <c r="D227" s="3" t="str">
        <f ca="1">IFERROR(__xludf.DUMMYFUNCTION("GOOGLETRANSLATE(B227,""ja"",""vi"")"),"Code Geass")</f>
        <v>Code Geass</v>
      </c>
      <c r="E227" t="str">
        <f t="shared" ca="1" si="3"/>
        <v>"2084236120" : "Code Geass",</v>
      </c>
    </row>
    <row r="228" spans="1:5" ht="15.75" customHeight="1">
      <c r="A228" s="6">
        <v>2084236116</v>
      </c>
      <c r="B228" s="7" t="s">
        <v>405</v>
      </c>
      <c r="C228" s="7" t="s">
        <v>406</v>
      </c>
      <c r="D228" s="3" t="str">
        <f ca="1">IFERROR(__xludf.DUMMYFUNCTION("GOOGLETRANSLATE(B228,""ja"",""vi"")"),"Hitman Reborn!")</f>
        <v>Hitman Reborn!</v>
      </c>
      <c r="E228" t="str">
        <f t="shared" ca="1" si="3"/>
        <v>"2084236116" : "Hitman Reborn!",</v>
      </c>
    </row>
    <row r="229" spans="1:5" ht="15.75" customHeight="1">
      <c r="A229" s="6">
        <v>2084236106</v>
      </c>
      <c r="B229" s="7" t="s">
        <v>407</v>
      </c>
      <c r="C229" s="7" t="s">
        <v>408</v>
      </c>
      <c r="D229" s="3" t="str">
        <f ca="1">IFERROR(__xludf.DUMMYFUNCTION("GOOGLETRANSLATE(B229,""ja"",""vi"")"),"Gintama")</f>
        <v>Gintama</v>
      </c>
      <c r="E229" t="str">
        <f t="shared" ca="1" si="3"/>
        <v>"2084236106" : "Gintama",</v>
      </c>
    </row>
    <row r="230" spans="1:5" ht="15.75" customHeight="1">
      <c r="A230" s="6">
        <v>2084040583</v>
      </c>
      <c r="B230" s="7" t="s">
        <v>409</v>
      </c>
      <c r="C230" s="7" t="s">
        <v>410</v>
      </c>
      <c r="D230" s="3" t="str">
        <f ca="1">IFERROR(__xludf.DUMMYFUNCTION("GOOGLETRANSLATE(B230,""ja"",""vi"")"),"Bizarre Adventure JoJo")</f>
        <v>Bizarre Adventure JoJo</v>
      </c>
      <c r="E230" t="str">
        <f t="shared" ca="1" si="3"/>
        <v>"2084040583" : "Bizarre Adventure JoJo",</v>
      </c>
    </row>
    <row r="231" spans="1:5" ht="15.75" customHeight="1">
      <c r="A231" s="6">
        <v>2084305376</v>
      </c>
      <c r="B231" s="7" t="s">
        <v>411</v>
      </c>
      <c r="C231" s="7" t="s">
        <v>412</v>
      </c>
      <c r="D231" s="3" t="str">
        <f ca="1">IFERROR(__xludf.DUMMYFUNCTION("GOOGLETRANSLATE(B231,""ja"",""vi"")"),"Strike Witches")</f>
        <v>Strike Witches</v>
      </c>
      <c r="E231" t="str">
        <f t="shared" ca="1" si="3"/>
        <v>"2084305376" : "Strike Witches",</v>
      </c>
    </row>
    <row r="232" spans="1:5" ht="15.75" customHeight="1">
      <c r="A232" s="6">
        <v>2084236111</v>
      </c>
      <c r="B232" s="7" t="s">
        <v>413</v>
      </c>
      <c r="C232" s="7" t="s">
        <v>414</v>
      </c>
      <c r="D232" s="3" t="str">
        <f ca="1">IFERROR(__xludf.DUMMYFUNCTION("GOOGLETRANSLATE(B232,""ja"",""vi"")"),"Shana")</f>
        <v>Shana</v>
      </c>
      <c r="E232" t="str">
        <f t="shared" ca="1" si="3"/>
        <v>"2084236111" : "Shana",</v>
      </c>
    </row>
    <row r="233" spans="1:5" ht="15.75" customHeight="1">
      <c r="A233" s="6">
        <v>2084305375</v>
      </c>
      <c r="B233" s="7" t="s">
        <v>415</v>
      </c>
      <c r="C233" s="7" t="s">
        <v>416</v>
      </c>
      <c r="D233" s="3" t="str">
        <f ca="1">IFERROR(__xludf.DUMMYFUNCTION("GOOGLETRANSLATE(B233,""ja"",""vi"")"),"Xâm lược !? Squid con gái")</f>
        <v>Xâm lược !? Squid con gái</v>
      </c>
      <c r="E233" t="str">
        <f t="shared" ca="1" si="3"/>
        <v>"2084305375" : "Xâm lược !? Squid con gái",</v>
      </c>
    </row>
    <row r="234" spans="1:5" ht="15.75" customHeight="1">
      <c r="A234" s="6">
        <v>2084023785</v>
      </c>
      <c r="B234" s="7" t="s">
        <v>417</v>
      </c>
      <c r="C234" s="7" t="s">
        <v>418</v>
      </c>
      <c r="D234" s="3" t="str">
        <f ca="1">IFERROR(__xludf.DUMMYFUNCTION("GOOGLETRANSLATE(B234,""ja"",""vi"")"),"Neon Genesis Evangelion")</f>
        <v>Neon Genesis Evangelion</v>
      </c>
      <c r="E234" t="str">
        <f t="shared" ca="1" si="3"/>
        <v>"2084023785" : "Neon Genesis Evangelion",</v>
      </c>
    </row>
    <row r="235" spans="1:5" ht="15.75" customHeight="1">
      <c r="A235" s="6">
        <v>2084195224</v>
      </c>
      <c r="B235" s="7" t="s">
        <v>419</v>
      </c>
      <c r="C235" s="7" t="s">
        <v>420</v>
      </c>
      <c r="D235" s="3" t="str">
        <f ca="1">IFERROR(__xludf.DUMMYFUNCTION("GOOGLETRANSLATE(B235,""ja"",""vi"")"),"Saint Seiya")</f>
        <v>Saint Seiya</v>
      </c>
      <c r="E235" t="str">
        <f t="shared" ca="1" si="3"/>
        <v>"2084195224" : "Saint Seiya",</v>
      </c>
    </row>
    <row r="236" spans="1:5" ht="15.75" customHeight="1">
      <c r="A236" s="6">
        <v>2084222803</v>
      </c>
      <c r="B236" s="7" t="s">
        <v>421</v>
      </c>
      <c r="C236" s="7" t="s">
        <v>422</v>
      </c>
      <c r="D236" s="3" t="str">
        <f ca="1">IFERROR(__xludf.DUMMYFUNCTION("GOOGLETRANSLATE(B236,""ja"",""vi"")"),"The Melancholy")</f>
        <v>The Melancholy</v>
      </c>
      <c r="E236" t="str">
        <f t="shared" ca="1" si="3"/>
        <v>"2084222803" : "The Melancholy",</v>
      </c>
    </row>
    <row r="237" spans="1:5" ht="15.75" customHeight="1">
      <c r="A237" s="6">
        <v>2084305377</v>
      </c>
      <c r="B237" s="7" t="s">
        <v>423</v>
      </c>
      <c r="C237" s="7" t="s">
        <v>424</v>
      </c>
      <c r="D237" s="3" t="str">
        <f ca="1">IFERROR(__xludf.DUMMYFUNCTION("GOOGLETRANSLATE(B237,""ja"",""vi"")"),"TIGER &amp; BUNNY")</f>
        <v>TIGER &amp; BUNNY</v>
      </c>
      <c r="E237" t="str">
        <f t="shared" ca="1" si="3"/>
        <v>"2084305377" : "TIGER &amp; BUNNY",</v>
      </c>
    </row>
    <row r="238" spans="1:5" ht="15.75" customHeight="1">
      <c r="A238" s="6">
        <v>2084236123</v>
      </c>
      <c r="B238" s="7" t="s">
        <v>425</v>
      </c>
      <c r="C238" s="7" t="s">
        <v>426</v>
      </c>
      <c r="D238" s="3" t="str">
        <f ca="1">IFERROR(__xludf.DUMMYFUNCTION("GOOGLETRANSLATE(B238,""ja"",""vi"")"),"Ru Để TÌNH YÊU")</f>
        <v>Ru Để TÌNH YÊU</v>
      </c>
      <c r="E238" t="str">
        <f t="shared" ca="1" si="3"/>
        <v>"2084236123" : "Ru Để TÌNH YÊU",</v>
      </c>
    </row>
    <row r="239" spans="1:5" ht="15.75" customHeight="1">
      <c r="A239" s="6">
        <v>2084305378</v>
      </c>
      <c r="B239" s="7" t="s">
        <v>427</v>
      </c>
      <c r="C239" s="7" t="s">
        <v>428</v>
      </c>
      <c r="D239" s="3" t="str">
        <f ca="1">IFERROR(__xludf.DUMMYFUNCTION("GOOGLETRANSLATE(B239,""ja"",""vi"")"),"Rằng có (danh sách cấm, Railgun)")</f>
        <v>Rằng có (danh sách cấm, Railgun)</v>
      </c>
      <c r="E239" t="str">
        <f t="shared" ca="1" si="3"/>
        <v>"2084305378" : "Rằng có (danh sách cấm, Railgun)",</v>
      </c>
    </row>
    <row r="240" spans="1:5" ht="15.75" customHeight="1">
      <c r="A240" s="6">
        <v>2084063730</v>
      </c>
      <c r="B240" s="7" t="s">
        <v>429</v>
      </c>
      <c r="C240" s="7" t="s">
        <v>430</v>
      </c>
      <c r="D240" s="3" t="str">
        <f ca="1">IFERROR(__xludf.DUMMYFUNCTION("GOOGLETRANSLATE(B240,""ja"",""vi"")"),"Disney")</f>
        <v>Disney</v>
      </c>
      <c r="E240" t="str">
        <f t="shared" ca="1" si="3"/>
        <v>"2084063730" : "Disney",</v>
      </c>
    </row>
    <row r="241" spans="1:5" ht="15.75" customHeight="1">
      <c r="A241" s="6">
        <v>2084023765</v>
      </c>
      <c r="B241" s="7" t="s">
        <v>431</v>
      </c>
      <c r="C241" s="7" t="s">
        <v>432</v>
      </c>
      <c r="D241" s="3" t="str">
        <f ca="1">IFERROR(__xludf.DUMMYFUNCTION("GOOGLETRANSLATE(B241,""ja"",""vi"")"),"devilman")</f>
        <v>devilman</v>
      </c>
      <c r="E241" t="str">
        <f t="shared" ca="1" si="3"/>
        <v>"2084023765" : "devilman",</v>
      </c>
    </row>
    <row r="242" spans="1:5" ht="15.75" customHeight="1">
      <c r="A242" s="6">
        <v>2084040584</v>
      </c>
      <c r="B242" s="7" t="s">
        <v>433</v>
      </c>
      <c r="C242" s="7" t="s">
        <v>434</v>
      </c>
      <c r="D242" s="3" t="str">
        <f ca="1">IFERROR(__xludf.DUMMYFUNCTION("GOOGLETRANSLATE(B242,""ja"",""vi"")"),"dragon ball")</f>
        <v>dragon ball</v>
      </c>
      <c r="E242" t="str">
        <f t="shared" ca="1" si="3"/>
        <v>"2084040584" : "dragon ball",</v>
      </c>
    </row>
    <row r="243" spans="1:5" ht="15.75" customHeight="1">
      <c r="A243" s="6">
        <v>2084023769</v>
      </c>
      <c r="B243" s="7" t="s">
        <v>435</v>
      </c>
      <c r="C243" s="7" t="s">
        <v>436</v>
      </c>
      <c r="D243" s="3" t="str">
        <f ca="1">IFERROR(__xludf.DUMMYFUNCTION("GOOGLETRANSLATE(B243,""ja"",""vi"")"),"Tetsujin 28-go")</f>
        <v>Tetsujin 28-go</v>
      </c>
      <c r="E243" t="str">
        <f t="shared" ca="1" si="3"/>
        <v>"2084023769" : "Tetsujin 28-go",</v>
      </c>
    </row>
    <row r="244" spans="1:5" ht="15.75" customHeight="1">
      <c r="A244" s="6">
        <v>2084023768</v>
      </c>
      <c r="B244" s="7" t="s">
        <v>437</v>
      </c>
      <c r="C244" s="7" t="s">
        <v>438</v>
      </c>
      <c r="D244" s="3" t="str">
        <f ca="1">IFERROR(__xludf.DUMMYFUNCTION("GOOGLETRANSLATE(B244,""ja"",""vi"")"),"ASTRO BOY")</f>
        <v>ASTRO BOY</v>
      </c>
      <c r="E244" t="str">
        <f t="shared" ca="1" si="3"/>
        <v>"2084023768" : "ASTRO BOY",</v>
      </c>
    </row>
    <row r="245" spans="1:5" ht="15.75" customHeight="1">
      <c r="A245" s="6">
        <v>2084239889</v>
      </c>
      <c r="B245" s="7" t="s">
        <v>439</v>
      </c>
      <c r="C245" s="7" t="s">
        <v>440</v>
      </c>
      <c r="D245" s="3" t="str">
        <f ca="1">IFERROR(__xludf.DUMMYFUNCTION("GOOGLETRANSLATE(B245,""ja"",""vi"")"),"Gurren Lagann")</f>
        <v>Gurren Lagann</v>
      </c>
      <c r="E245" t="str">
        <f t="shared" ca="1" si="3"/>
        <v>"2084239889" : "Gurren Lagann",</v>
      </c>
    </row>
    <row r="246" spans="1:5" ht="15.75" customHeight="1">
      <c r="A246" s="6">
        <v>2084222807</v>
      </c>
      <c r="B246" s="7" t="s">
        <v>441</v>
      </c>
      <c r="C246" s="7" t="s">
        <v>442</v>
      </c>
      <c r="D246" s="3" t="str">
        <f ca="1">IFERROR(__xludf.DUMMYFUNCTION("GOOGLETRANSLATE(B246,""ja"",""vi"")"),"Tenjou Tenge")</f>
        <v>Tenjou Tenge</v>
      </c>
      <c r="E246" t="str">
        <f t="shared" ca="1" si="3"/>
        <v>"2084222807" : "Tenjou Tenge",</v>
      </c>
    </row>
    <row r="247" spans="1:5" ht="15.75" customHeight="1">
      <c r="A247" s="6">
        <v>2084236113</v>
      </c>
      <c r="B247" s="7" t="s">
        <v>443</v>
      </c>
      <c r="C247" s="7" t="s">
        <v>444</v>
      </c>
      <c r="D247" s="3" t="str">
        <f ca="1">IFERROR(__xludf.DUMMYFUNCTION("GOOGLETRANSLATE(B247,""ja"",""vi"")"),"NARUTO")</f>
        <v>NARUTO</v>
      </c>
      <c r="E247" t="str">
        <f t="shared" ca="1" si="3"/>
        <v>"2084236113" : "NARUTO",</v>
      </c>
    </row>
    <row r="248" spans="1:5" ht="15.75" customHeight="1">
      <c r="A248" s="6">
        <v>2084305379</v>
      </c>
      <c r="B248" s="7" t="s">
        <v>445</v>
      </c>
      <c r="C248" s="7" t="s">
        <v>446</v>
      </c>
      <c r="D248" s="3" t="str">
        <f ca="1">IFERROR(__xludf.DUMMYFUNCTION("GOOGLETRANSLATE(B248,""ja"",""vi"")"),"Natsume Yuujin Chou")</f>
        <v>Natsume Yuujin Chou</v>
      </c>
      <c r="E248" t="str">
        <f t="shared" ca="1" si="3"/>
        <v>"2084305379" : "Natsume Yuujin Chou",</v>
      </c>
    </row>
    <row r="249" spans="1:5" ht="15.75" customHeight="1">
      <c r="A249" s="6">
        <v>2084241346</v>
      </c>
      <c r="B249" s="7" t="s">
        <v>447</v>
      </c>
      <c r="C249" s="7" t="s">
        <v>448</v>
      </c>
      <c r="D249" s="3" t="str">
        <f ca="1">IFERROR(__xludf.DUMMYFUNCTION("GOOGLETRANSLATE(B249,""ja"",""vi"")"),"THUỐC TẨY")</f>
        <v>THUỐC TẨY</v>
      </c>
      <c r="E249" t="str">
        <f t="shared" ca="1" si="3"/>
        <v>"2084241346" : "THUỐC TẨY",</v>
      </c>
    </row>
    <row r="250" spans="1:5" ht="15.75" customHeight="1">
      <c r="A250" s="6">
        <v>2084236118</v>
      </c>
      <c r="B250" s="7" t="s">
        <v>449</v>
      </c>
      <c r="C250" s="7" t="s">
        <v>450</v>
      </c>
      <c r="D250" s="3" t="str">
        <f ca="1">IFERROR(__xludf.DUMMYFUNCTION("GOOGLETRANSLATE(B250,""ja"",""vi"")"),"số phận")</f>
        <v>số phận</v>
      </c>
      <c r="E250" t="str">
        <f t="shared" ca="1" si="3"/>
        <v>"2084236118" : "số phận",</v>
      </c>
    </row>
    <row r="251" spans="1:5" ht="15.75" customHeight="1">
      <c r="A251" s="6">
        <v>2084242880</v>
      </c>
      <c r="B251" s="7" t="s">
        <v>451</v>
      </c>
      <c r="C251" s="7" t="s">
        <v>452</v>
      </c>
      <c r="D251" s="3" t="str">
        <f ca="1">IFERROR(__xludf.DUMMYFUNCTION("GOOGLETRANSLATE(B251,""ja"",""vi"")"),"Pretty Cure")</f>
        <v>Pretty Cure</v>
      </c>
      <c r="E251" t="str">
        <f t="shared" ca="1" si="3"/>
        <v>"2084242880" : "Pretty Cure",</v>
      </c>
    </row>
    <row r="252" spans="1:5" ht="15.75" customHeight="1">
      <c r="A252" s="6">
        <v>2084305380</v>
      </c>
      <c r="B252" s="7" t="s">
        <v>453</v>
      </c>
      <c r="C252" s="7" t="s">
        <v>454</v>
      </c>
      <c r="D252" s="3" t="str">
        <f ca="1">IFERROR(__xludf.DUMMYFUNCTION("GOOGLETRANSLATE(B252,""ja"",""vi"")"),"Bakemonogatari, câu chuyện sai sự thật")</f>
        <v>Bakemonogatari, câu chuyện sai sự thật</v>
      </c>
      <c r="E252" t="str">
        <f t="shared" ca="1" si="3"/>
        <v>"2084305380" : "Bakemonogatari, câu chuyện sai sự thật",</v>
      </c>
    </row>
    <row r="253" spans="1:5" ht="15.75" customHeight="1">
      <c r="A253" s="6">
        <v>2084242879</v>
      </c>
      <c r="B253" s="7" t="s">
        <v>455</v>
      </c>
      <c r="C253" s="7" t="s">
        <v>456</v>
      </c>
      <c r="D253" s="3" t="str">
        <f ca="1">IFERROR(__xludf.DUMMYFUNCTION("GOOGLETRANSLATE(B253,""ja"",""vi"")"),"Fullmetal Alchemist")</f>
        <v>Fullmetal Alchemist</v>
      </c>
      <c r="E253" t="str">
        <f t="shared" ca="1" si="3"/>
        <v>"2084242879" : "Fullmetal Alchemist",</v>
      </c>
    </row>
    <row r="254" spans="1:5" ht="15.75" customHeight="1">
      <c r="A254" s="6">
        <v>2084239888</v>
      </c>
      <c r="B254" s="7" t="s">
        <v>457</v>
      </c>
      <c r="C254" s="7" t="s">
        <v>458</v>
      </c>
      <c r="D254" s="3" t="str">
        <f ca="1">IFERROR(__xludf.DUMMYFUNCTION("GOOGLETRANSLATE(B254,""ja"",""vi"")"),"Hatsune miku")</f>
        <v>Hatsune miku</v>
      </c>
      <c r="E254" t="str">
        <f t="shared" ca="1" si="3"/>
        <v>"2084239888" : "Hatsune miku",</v>
      </c>
    </row>
    <row r="255" spans="1:5" ht="15.75" customHeight="1">
      <c r="A255" s="6">
        <v>2084023788</v>
      </c>
      <c r="B255" s="7" t="s">
        <v>459</v>
      </c>
      <c r="C255" s="7" t="s">
        <v>460</v>
      </c>
      <c r="D255" s="3" t="str">
        <f ca="1">IFERROR(__xludf.DUMMYFUNCTION("GOOGLETRANSLATE(B255,""ja"",""vi"")"),"Khá Soldier Sailor Moon")</f>
        <v>Khá Soldier Sailor Moon</v>
      </c>
      <c r="E255" t="str">
        <f t="shared" ca="1" si="3"/>
        <v>"2084023788" : "Khá Soldier Sailor Moon",</v>
      </c>
    </row>
    <row r="256" spans="1:5" ht="15.75" customHeight="1">
      <c r="A256" s="6">
        <v>2084236115</v>
      </c>
      <c r="B256" s="7" t="s">
        <v>461</v>
      </c>
      <c r="C256" s="7" t="s">
        <v>462</v>
      </c>
      <c r="D256" s="3" t="str">
        <f ca="1">IFERROR(__xludf.DUMMYFUNCTION("GOOGLETRANSLATE(B256,""ja"",""vi"")"),"Fist of the North Star")</f>
        <v>Fist of the North Star</v>
      </c>
      <c r="E256" t="str">
        <f t="shared" ca="1" si="3"/>
        <v>"2084236115" : "Fist of the North Star",</v>
      </c>
    </row>
    <row r="257" spans="1:5" ht="15.75" customHeight="1">
      <c r="A257" s="6">
        <v>2084305381</v>
      </c>
      <c r="B257" s="7" t="s">
        <v>463</v>
      </c>
      <c r="C257" s="7" t="s">
        <v>464</v>
      </c>
      <c r="D257" s="3" t="str">
        <f ca="1">IFERROR(__xludf.DUMMYFUNCTION("GOOGLETRANSLATE(B257,""ja"",""vi"")"),"Macross F")</f>
        <v>Macross F</v>
      </c>
      <c r="E257" t="str">
        <f t="shared" ca="1" si="3"/>
        <v>"2084305381" : "Macross F",</v>
      </c>
    </row>
    <row r="258" spans="1:5" ht="15.75" customHeight="1">
      <c r="A258" s="6">
        <v>2084305382</v>
      </c>
      <c r="B258" s="7" t="s">
        <v>465</v>
      </c>
      <c r="C258" s="7" t="s">
        <v>466</v>
      </c>
      <c r="D258" s="3" t="str">
        <f ca="1">IFERROR(__xludf.DUMMYFUNCTION("GOOGLETRANSLATE(B258,""ja"",""vi"")"),"Magical Girl Madoka ☆ Magica")</f>
        <v>Magical Girl Madoka ☆ Magica</v>
      </c>
      <c r="E258" t="str">
        <f t="shared" ref="E258:E321" ca="1" si="4">CONCATENATE(CHAR(34)&amp;"",A258,""&amp;CHAR(34)," : ", CHAR(34)&amp;"",D258,""&amp;CHAR(34),",")</f>
        <v>"2084305382" : "Magical Girl Madoka ☆ Magica",</v>
      </c>
    </row>
    <row r="259" spans="1:5" ht="15.75" customHeight="1">
      <c r="A259" s="6">
        <v>2084236119</v>
      </c>
      <c r="B259" s="7" t="s">
        <v>467</v>
      </c>
      <c r="C259" s="7" t="s">
        <v>468</v>
      </c>
      <c r="D259" s="3" t="str">
        <f ca="1">IFERROR(__xludf.DUMMYFUNCTION("GOOGLETRANSLATE(B259,""ja"",""vi"")"),"Magical Girl Lyrical")</f>
        <v>Magical Girl Lyrical</v>
      </c>
      <c r="E259" t="str">
        <f t="shared" ca="1" si="4"/>
        <v>"2084236119" : "Magical Girl Lyrical",</v>
      </c>
    </row>
    <row r="260" spans="1:5" ht="15.75" customHeight="1">
      <c r="A260" s="6">
        <v>2084236108</v>
      </c>
      <c r="B260" s="7" t="s">
        <v>469</v>
      </c>
      <c r="C260" s="7" t="s">
        <v>470</v>
      </c>
      <c r="D260" s="3" t="str">
        <f ca="1">IFERROR(__xludf.DUMMYFUNCTION("GOOGLETRANSLATE(B260,""ja"",""vi"")"),"Yatterman")</f>
        <v>Yatterman</v>
      </c>
      <c r="E260" t="str">
        <f t="shared" ca="1" si="4"/>
        <v>"2084236108" : "Yatterman",</v>
      </c>
    </row>
    <row r="261" spans="1:5" ht="15.75" customHeight="1">
      <c r="A261" s="6">
        <v>2084236117</v>
      </c>
      <c r="B261" s="7" t="s">
        <v>471</v>
      </c>
      <c r="C261" s="7" t="s">
        <v>472</v>
      </c>
      <c r="D261" s="3" t="str">
        <f ca="1">IFERROR(__xludf.DUMMYFUNCTION("GOOGLETRANSLATE(B261,""ja"",""vi"")"),"Lucky ☆ Star")</f>
        <v>Lucky ☆ Star</v>
      </c>
      <c r="E261" t="str">
        <f t="shared" ca="1" si="4"/>
        <v>"2084236117" : "Lucky ☆ Star",</v>
      </c>
    </row>
    <row r="262" spans="1:5" ht="15.75" customHeight="1">
      <c r="A262" s="6">
        <v>2084023783</v>
      </c>
      <c r="B262" s="7" t="s">
        <v>473</v>
      </c>
      <c r="C262" s="7" t="s">
        <v>474</v>
      </c>
      <c r="D262" s="3" t="str">
        <f ca="1">IFERROR(__xludf.DUMMYFUNCTION("GOOGLETRANSLATE(B262,""ja"",""vi"")"),"Lupin III")</f>
        <v>Lupin III</v>
      </c>
      <c r="E262" t="str">
        <f t="shared" ca="1" si="4"/>
        <v>"2084023783" : "Lupin III",</v>
      </c>
    </row>
    <row r="263" spans="1:5" ht="15.75" customHeight="1">
      <c r="A263" s="6">
        <v>2084023719</v>
      </c>
      <c r="B263" s="7" t="s">
        <v>475</v>
      </c>
      <c r="C263" s="7" t="s">
        <v>476</v>
      </c>
      <c r="D263" s="3" t="str">
        <f ca="1">IFERROR(__xludf.DUMMYFUNCTION("GOOGLETRANSLATE(B263,""ja"",""vi"")"),"anh hùng Robot")</f>
        <v>anh hùng Robot</v>
      </c>
      <c r="E263" t="str">
        <f t="shared" ca="1" si="4"/>
        <v>"2084023719" : "anh hùng Robot",</v>
      </c>
    </row>
    <row r="264" spans="1:5" ht="15.75" customHeight="1">
      <c r="A264" s="6">
        <v>2084040581</v>
      </c>
      <c r="B264" s="7" t="s">
        <v>477</v>
      </c>
      <c r="C264" s="7" t="s">
        <v>478</v>
      </c>
      <c r="D264" s="3" t="str">
        <f ca="1">IFERROR(__xludf.DUMMYFUNCTION("GOOGLETRANSLATE(B264,""ja"",""vi"")"),"ONE PIECE")</f>
        <v>ONE PIECE</v>
      </c>
      <c r="E264" t="str">
        <f t="shared" ca="1" si="4"/>
        <v>"2084040581" : "ONE PIECE",</v>
      </c>
    </row>
    <row r="265" spans="1:5" ht="15.75" customHeight="1">
      <c r="A265" s="6">
        <v>2084023789</v>
      </c>
      <c r="B265" s="7" t="s">
        <v>105</v>
      </c>
      <c r="C265" s="7" t="s">
        <v>479</v>
      </c>
      <c r="D265" s="3" t="str">
        <f ca="1">IFERROR(__xludf.DUMMYFUNCTION("GOOGLETRANSLATE(B265,""ja"",""vi"")"),"nếu không thì")</f>
        <v>nếu không thì</v>
      </c>
      <c r="E265" t="str">
        <f t="shared" ca="1" si="4"/>
        <v>"2084023789" : "nếu không thì",</v>
      </c>
    </row>
    <row r="266" spans="1:5" ht="15.75" customHeight="1">
      <c r="A266" s="6">
        <v>2084023721</v>
      </c>
      <c r="B266" s="7" t="s">
        <v>480</v>
      </c>
      <c r="C266" s="7" t="s">
        <v>481</v>
      </c>
      <c r="D266" s="3" t="str">
        <f ca="1">IFERROR(__xludf.DUMMYFUNCTION("GOOGLETRANSLATE(B266,""ja"",""vi"")"),"Kikaider")</f>
        <v>Kikaider</v>
      </c>
      <c r="E266" t="str">
        <f t="shared" ca="1" si="4"/>
        <v>"2084023721" : "Kikaider",</v>
      </c>
    </row>
    <row r="267" spans="1:5" ht="15.75" customHeight="1">
      <c r="A267" s="6">
        <v>2084023722</v>
      </c>
      <c r="B267" s="7" t="s">
        <v>482</v>
      </c>
      <c r="C267" s="7" t="s">
        <v>483</v>
      </c>
      <c r="D267" s="3" t="str">
        <f ca="1">IFERROR(__xludf.DUMMYFUNCTION("GOOGLETRANSLATE(B267,""ja"",""vi"")"),"Robot thám")</f>
        <v>Robot thám</v>
      </c>
      <c r="E267" t="str">
        <f t="shared" ca="1" si="4"/>
        <v>"2084023722" : "Robot thám",</v>
      </c>
    </row>
    <row r="268" spans="1:5" ht="15.75" customHeight="1">
      <c r="A268" s="6">
        <v>2084023723</v>
      </c>
      <c r="B268" s="7" t="s">
        <v>484</v>
      </c>
      <c r="C268" s="7" t="s">
        <v>485</v>
      </c>
      <c r="D268" s="3" t="str">
        <f ca="1">IFERROR(__xludf.DUMMYFUNCTION("GOOGLETRANSLATE(B268,""ja"",""vi"")"),"Kikaider 01")</f>
        <v>Kikaider 01</v>
      </c>
      <c r="E268" t="str">
        <f t="shared" ca="1" si="4"/>
        <v>"2084023723" : "Kikaider 01",</v>
      </c>
    </row>
    <row r="269" spans="1:5" ht="15.75" customHeight="1">
      <c r="A269" s="6">
        <v>2084023623</v>
      </c>
      <c r="B269" s="7" t="s">
        <v>486</v>
      </c>
      <c r="C269" s="7" t="s">
        <v>487</v>
      </c>
      <c r="D269" s="3" t="str">
        <f ca="1">IFERROR(__xludf.DUMMYFUNCTION("GOOGLETRANSLATE(B269,""ja"",""vi"")"),"Ultraman")</f>
        <v>Ultraman</v>
      </c>
      <c r="E269" t="str">
        <f t="shared" ca="1" si="4"/>
        <v>"2084023623" : "Ultraman",</v>
      </c>
    </row>
    <row r="270" spans="1:5" ht="15.75" customHeight="1">
      <c r="A270" s="6">
        <v>2084023745</v>
      </c>
      <c r="B270" s="7" t="s">
        <v>488</v>
      </c>
      <c r="C270" s="7" t="s">
        <v>489</v>
      </c>
      <c r="D270" s="3" t="str">
        <f ca="1">IFERROR(__xludf.DUMMYFUNCTION("GOOGLETRANSLATE(B270,""ja"",""vi"")"),"Godzilla, con quái vật")</f>
        <v>Godzilla, con quái vật</v>
      </c>
      <c r="E270" t="str">
        <f t="shared" ca="1" si="4"/>
        <v>"2084023745" : "Godzilla, con quái vật",</v>
      </c>
    </row>
    <row r="271" spans="1:5" ht="15.75" customHeight="1">
      <c r="A271" s="6">
        <v>2084023694</v>
      </c>
      <c r="B271" s="7" t="s">
        <v>490</v>
      </c>
      <c r="C271" s="7" t="s">
        <v>491</v>
      </c>
      <c r="D271" s="3" t="str">
        <f ca="1">IFERROR(__xludf.DUMMYFUNCTION("GOOGLETRANSLATE(B271,""ja"",""vi"")"),"kim loại Dòng")</f>
        <v>kim loại Dòng</v>
      </c>
      <c r="E271" t="str">
        <f t="shared" ca="1" si="4"/>
        <v>"2084023694" : "kim loại Dòng",</v>
      </c>
    </row>
    <row r="272" spans="1:5" ht="15.75" customHeight="1">
      <c r="A272" s="6">
        <v>2084023644</v>
      </c>
      <c r="B272" s="7" t="s">
        <v>492</v>
      </c>
      <c r="C272" s="7" t="s">
        <v>493</v>
      </c>
      <c r="D272" s="3" t="str">
        <f ca="1">IFERROR(__xludf.DUMMYFUNCTION("GOOGLETRANSLATE(B272,""ja"",""vi"")"),"masked Rider")</f>
        <v>masked Rider</v>
      </c>
      <c r="E272" t="str">
        <f t="shared" ca="1" si="4"/>
        <v>"2084023644" : "masked Rider",</v>
      </c>
    </row>
    <row r="273" spans="1:5" ht="15.75" customHeight="1">
      <c r="A273" s="6">
        <v>2084023661</v>
      </c>
      <c r="B273" s="7" t="s">
        <v>494</v>
      </c>
      <c r="C273" s="7" t="s">
        <v>495</v>
      </c>
      <c r="D273" s="3" t="str">
        <f ca="1">IFERROR(__xludf.DUMMYFUNCTION("GOOGLETRANSLATE(B273,""ja"",""vi"")"),"Sentai Dòng")</f>
        <v>Sentai Dòng</v>
      </c>
      <c r="E273" t="str">
        <f t="shared" ca="1" si="4"/>
        <v>"2084023661" : "Sentai Dòng",</v>
      </c>
    </row>
    <row r="274" spans="1:5" ht="15.75" customHeight="1">
      <c r="A274" s="6">
        <v>2084023719</v>
      </c>
      <c r="B274" s="7" t="s">
        <v>475</v>
      </c>
      <c r="C274" s="7" t="s">
        <v>496</v>
      </c>
      <c r="D274" s="3" t="str">
        <f ca="1">IFERROR(__xludf.DUMMYFUNCTION("GOOGLETRANSLATE(B274,""ja"",""vi"")"),"anh hùng Robot")</f>
        <v>anh hùng Robot</v>
      </c>
      <c r="E274" t="str">
        <f t="shared" ca="1" si="4"/>
        <v>"2084023719" : "anh hùng Robot",</v>
      </c>
    </row>
    <row r="275" spans="1:5" ht="15.75" customHeight="1">
      <c r="A275" s="6">
        <v>2084047373</v>
      </c>
      <c r="B275" s="7" t="s">
        <v>105</v>
      </c>
      <c r="C275" s="7" t="s">
        <v>497</v>
      </c>
      <c r="D275" s="3" t="str">
        <f ca="1">IFERROR(__xludf.DUMMYFUNCTION("GOOGLETRANSLATE(B275,""ja"",""vi"")"),"nếu không thì")</f>
        <v>nếu không thì</v>
      </c>
      <c r="E275" t="str">
        <f t="shared" ca="1" si="4"/>
        <v>"2084047373" : "nếu không thì",</v>
      </c>
    </row>
    <row r="276" spans="1:5" ht="15.75" customHeight="1">
      <c r="A276" s="6">
        <v>2084236103</v>
      </c>
      <c r="B276" s="7" t="s">
        <v>498</v>
      </c>
      <c r="C276" s="7" t="s">
        <v>499</v>
      </c>
      <c r="D276" s="3" t="str">
        <f ca="1">IFERROR(__xludf.DUMMYFUNCTION("GOOGLETRANSLATE(B276,""ja"",""vi"")"),"Chào mừng bạn đến Pia Carrot")</f>
        <v>Chào mừng bạn đến Pia Carrot</v>
      </c>
      <c r="E276" t="str">
        <f t="shared" ca="1" si="4"/>
        <v>"2084236103" : "Chào mừng bạn đến Pia Carrot",</v>
      </c>
    </row>
    <row r="277" spans="1:5" ht="15.75" customHeight="1">
      <c r="A277" s="6">
        <v>2084236102</v>
      </c>
      <c r="B277" s="7" t="s">
        <v>500</v>
      </c>
      <c r="C277" s="7" t="s">
        <v>501</v>
      </c>
      <c r="D277" s="3" t="str">
        <f ca="1">IFERROR(__xludf.DUMMYFUNCTION("GOOGLETRANSLATE(B277,""ja"",""vi"")"),"ToHeart2")</f>
        <v>ToHeart2</v>
      </c>
      <c r="E277" t="str">
        <f t="shared" ca="1" si="4"/>
        <v>"2084236102" : "ToHeart2",</v>
      </c>
    </row>
    <row r="278" spans="1:5" ht="15.75" customHeight="1">
      <c r="A278" s="6">
        <v>2084305391</v>
      </c>
      <c r="B278" s="7" t="s">
        <v>502</v>
      </c>
      <c r="C278" s="7" t="s">
        <v>503</v>
      </c>
      <c r="D278" s="3" t="str">
        <f ca="1">IFERROR(__xludf.DUMMYFUNCTION("GOOGLETRANSLATE(B278,""ja"",""vi"")"),"SUPER Sonico")</f>
        <v>SUPER Sonico</v>
      </c>
      <c r="E278" t="str">
        <f t="shared" ca="1" si="4"/>
        <v>"2084305391" : "SUPER Sonico",</v>
      </c>
    </row>
    <row r="279" spans="1:5" ht="15.75" customHeight="1">
      <c r="A279" s="6">
        <v>2084040566</v>
      </c>
      <c r="B279" s="7" t="s">
        <v>144</v>
      </c>
      <c r="C279" s="7" t="s">
        <v>504</v>
      </c>
      <c r="D279" s="3" t="str">
        <f ca="1">IFERROR(__xludf.DUMMYFUNCTION("GOOGLETRANSLATE(B279,""ja"",""vi"")"),"Memorial Tokimeki")</f>
        <v>Memorial Tokimeki</v>
      </c>
      <c r="E279" t="str">
        <f t="shared" ca="1" si="4"/>
        <v>"2084040566" : "Memorial Tokimeki",</v>
      </c>
    </row>
    <row r="280" spans="1:5" ht="15.75" customHeight="1">
      <c r="A280" s="6">
        <v>2084239890</v>
      </c>
      <c r="B280" s="7" t="s">
        <v>505</v>
      </c>
      <c r="C280" s="7" t="s">
        <v>506</v>
      </c>
      <c r="D280" s="3" t="str">
        <f ca="1">IFERROR(__xludf.DUMMYFUNCTION("GOOGLETRANSLATE(B280,""ja"",""vi"")"),"Idol Thạc sĩ")</f>
        <v>Idol Thạc sĩ</v>
      </c>
      <c r="E280" t="str">
        <f t="shared" ca="1" si="4"/>
        <v>"2084239890" : "Idol Thạc sĩ",</v>
      </c>
    </row>
    <row r="281" spans="1:5" ht="15.75" customHeight="1">
      <c r="A281" s="6">
        <v>2084048365</v>
      </c>
      <c r="B281" s="7" t="s">
        <v>507</v>
      </c>
      <c r="C281" s="7" t="s">
        <v>508</v>
      </c>
      <c r="D281" s="3" t="str">
        <f ca="1">IFERROR(__xludf.DUMMYFUNCTION("GOOGLETRANSLATE(B281,""ja"",""vi"")"),"KINGDOM HEARTS")</f>
        <v>KINGDOM HEARTS</v>
      </c>
      <c r="E281" t="str">
        <f t="shared" ca="1" si="4"/>
        <v>"2084048365" : "KINGDOM HEARTS",</v>
      </c>
    </row>
    <row r="282" spans="1:5" ht="15.75" customHeight="1">
      <c r="A282" s="6">
        <v>2084236100</v>
      </c>
      <c r="B282" s="7" t="s">
        <v>509</v>
      </c>
      <c r="C282" s="7" t="s">
        <v>510</v>
      </c>
      <c r="D282" s="3" t="str">
        <f ca="1">IFERROR(__xludf.DUMMYFUNCTION("GOOGLETRANSLATE(B282,""ja"",""vi"")"),"Blade Queen")</f>
        <v>Blade Queen</v>
      </c>
      <c r="E282" t="str">
        <f t="shared" ca="1" si="4"/>
        <v>"2084236100" : "Blade Queen",</v>
      </c>
    </row>
    <row r="283" spans="1:5" ht="15.75" customHeight="1">
      <c r="A283" s="6">
        <v>2084040565</v>
      </c>
      <c r="B283" s="7" t="s">
        <v>146</v>
      </c>
      <c r="C283" s="7" t="s">
        <v>511</v>
      </c>
      <c r="D283" s="3" t="str">
        <f ca="1">IFERROR(__xludf.DUMMYFUNCTION("GOOGLETRANSLATE(B283,""ja"",""vi"")"),"Sakura Wars")</f>
        <v>Sakura Wars</v>
      </c>
      <c r="E283" t="str">
        <f t="shared" ca="1" si="4"/>
        <v>"2084040565" : "Sakura Wars",</v>
      </c>
    </row>
    <row r="284" spans="1:5" ht="15.75" customHeight="1">
      <c r="A284" s="6">
        <v>2084236105</v>
      </c>
      <c r="B284" s="7" t="s">
        <v>512</v>
      </c>
      <c r="C284" s="7" t="s">
        <v>513</v>
      </c>
      <c r="D284" s="3" t="str">
        <f ca="1">IFERROR(__xludf.DUMMYFUNCTION("GOOGLETRANSLATE(B284,""ja"",""vi"")"),"Samurai Spirits")</f>
        <v>Samurai Spirits</v>
      </c>
      <c r="E284" t="str">
        <f t="shared" ca="1" si="4"/>
        <v>"2084236105" : "Samurai Spirits",</v>
      </c>
    </row>
    <row r="285" spans="1:5" ht="15.75" customHeight="1">
      <c r="A285" s="6">
        <v>2084236101</v>
      </c>
      <c r="B285" s="7" t="s">
        <v>514</v>
      </c>
      <c r="C285" s="7" t="s">
        <v>515</v>
      </c>
      <c r="D285" s="3" t="str">
        <f ca="1">IFERROR(__xludf.DUMMYFUNCTION("GOOGLETRANSLATE(B285,""ja"",""vi"")"),"Shining gió")</f>
        <v>Shining gió</v>
      </c>
      <c r="E285" t="str">
        <f t="shared" ca="1" si="4"/>
        <v>"2084236101" : "Shining gió",</v>
      </c>
    </row>
    <row r="286" spans="1:5" ht="15.75" customHeight="1">
      <c r="A286" s="6">
        <v>2084222830</v>
      </c>
      <c r="B286" s="7" t="s">
        <v>516</v>
      </c>
      <c r="C286" s="7" t="s">
        <v>517</v>
      </c>
      <c r="D286" s="3" t="str">
        <f ca="1">IFERROR(__xludf.DUMMYFUNCTION("GOOGLETRANSLATE(B286,""ja"",""vi"")"),"super Mario")</f>
        <v>super Mario</v>
      </c>
      <c r="E286" t="str">
        <f t="shared" ca="1" si="4"/>
        <v>"2084222830" : "super Mario",</v>
      </c>
    </row>
    <row r="287" spans="1:5" ht="15.75" customHeight="1">
      <c r="A287" s="6">
        <v>2084236104</v>
      </c>
      <c r="B287" s="7" t="s">
        <v>518</v>
      </c>
      <c r="C287" s="7" t="s">
        <v>519</v>
      </c>
      <c r="D287" s="3" t="str">
        <f ca="1">IFERROR(__xludf.DUMMYFUNCTION("GOOGLETRANSLATE(B287,""ja"",""vi"")"),"Super Robot Wars")</f>
        <v>Super Robot Wars</v>
      </c>
      <c r="E287" t="str">
        <f t="shared" ca="1" si="4"/>
        <v>"2084236104" : "Super Robot Wars",</v>
      </c>
    </row>
    <row r="288" spans="1:5" ht="15.75" customHeight="1">
      <c r="A288" s="6">
        <v>2084236580</v>
      </c>
      <c r="B288" s="7" t="s">
        <v>520</v>
      </c>
      <c r="C288" s="7" t="s">
        <v>521</v>
      </c>
      <c r="D288" s="3" t="str">
        <f ca="1">IFERROR(__xludf.DUMMYFUNCTION("GOOGLETRANSLATE(B288,""ja"",""vi"")"),"street fighter")</f>
        <v>street fighter</v>
      </c>
      <c r="E288" t="str">
        <f t="shared" ca="1" si="4"/>
        <v>"2084236580" : "street fighter",</v>
      </c>
    </row>
    <row r="289" spans="1:5" ht="15.75" customHeight="1">
      <c r="A289" s="6">
        <v>2084040567</v>
      </c>
      <c r="B289" s="7" t="s">
        <v>148</v>
      </c>
      <c r="C289" s="7" t="s">
        <v>522</v>
      </c>
      <c r="D289" s="3" t="str">
        <f ca="1">IFERROR(__xludf.DUMMYFUNCTION("GOOGLETRANSLATE(B289,""ja"",""vi"")"),"sentimental Graffiti")</f>
        <v>sentimental Graffiti</v>
      </c>
      <c r="E289" t="str">
        <f t="shared" ca="1" si="4"/>
        <v>"2084040567" : "sentimental Graffiti",</v>
      </c>
    </row>
    <row r="290" spans="1:5" ht="15.75" customHeight="1">
      <c r="A290" s="6">
        <v>2084040569</v>
      </c>
      <c r="B290" s="7" t="s">
        <v>523</v>
      </c>
      <c r="C290" s="7" t="s">
        <v>524</v>
      </c>
      <c r="D290" s="3" t="str">
        <f ca="1">IFERROR(__xludf.DUMMYFUNCTION("GOOGLETRANSLATE(B290,""ja"",""vi"")"),"quái vật kỹ thuật số")</f>
        <v>quái vật kỹ thuật số</v>
      </c>
      <c r="E290" t="str">
        <f t="shared" ca="1" si="4"/>
        <v>"2084040569" : "quái vật kỹ thuật số",</v>
      </c>
    </row>
    <row r="291" spans="1:5" ht="15.75" customHeight="1">
      <c r="A291" s="6">
        <v>2084063700</v>
      </c>
      <c r="B291" s="7" t="s">
        <v>525</v>
      </c>
      <c r="C291" s="7" t="s">
        <v>526</v>
      </c>
      <c r="D291" s="3" t="str">
        <f ca="1">IFERROR(__xludf.DUMMYFUNCTION("GOOGLETRANSLATE(B291,""ja"",""vi"")"),"Dead or Alive")</f>
        <v>Dead or Alive</v>
      </c>
      <c r="E291" t="str">
        <f t="shared" ca="1" si="4"/>
        <v>"2084063700" : "Dead or Alive",</v>
      </c>
    </row>
    <row r="292" spans="1:5" ht="15.75" customHeight="1">
      <c r="A292" s="6">
        <v>2084063703</v>
      </c>
      <c r="B292" s="7" t="s">
        <v>150</v>
      </c>
      <c r="C292" s="7" t="s">
        <v>527</v>
      </c>
      <c r="D292" s="3" t="str">
        <f ca="1">IFERROR(__xludf.DUMMYFUNCTION("GOOGLETRANSLATE(B292,""ja"",""vi"")"),"dragon Quest")</f>
        <v>dragon Quest</v>
      </c>
      <c r="E292" t="str">
        <f t="shared" ca="1" si="4"/>
        <v>"2084063703" : "dragon Quest",</v>
      </c>
    </row>
    <row r="293" spans="1:5" ht="15.75" customHeight="1">
      <c r="A293" s="6">
        <v>2084040568</v>
      </c>
      <c r="B293" s="7" t="s">
        <v>152</v>
      </c>
      <c r="C293" s="7" t="s">
        <v>528</v>
      </c>
      <c r="D293" s="3" t="str">
        <f ca="1">IFERROR(__xludf.DUMMYFUNCTION("GOOGLETRANSLATE(B293,""ja"",""vi"")"),"Final fantasy")</f>
        <v>Final fantasy</v>
      </c>
      <c r="E293" t="str">
        <f t="shared" ca="1" si="4"/>
        <v>"2084040568" : "Final fantasy",</v>
      </c>
    </row>
    <row r="294" spans="1:5" ht="15.75" customHeight="1">
      <c r="A294" s="6">
        <v>2084305394</v>
      </c>
      <c r="B294" s="7" t="s">
        <v>529</v>
      </c>
      <c r="C294" s="7" t="s">
        <v>530</v>
      </c>
      <c r="D294" s="3" t="str">
        <f ca="1">IFERROR(__xludf.DUMMYFUNCTION("GOOGLETRANSLATE(B294,""ja"",""vi"")"),"Persona loạt")</f>
        <v>Persona loạt</v>
      </c>
      <c r="E294" t="str">
        <f t="shared" ca="1" si="4"/>
        <v>"2084305394" : "Persona loạt",</v>
      </c>
    </row>
    <row r="295" spans="1:5" ht="15.75" customHeight="1">
      <c r="A295" s="6">
        <v>2084236581</v>
      </c>
      <c r="B295" s="7" t="s">
        <v>531</v>
      </c>
      <c r="C295" s="7" t="s">
        <v>532</v>
      </c>
      <c r="D295" s="3" t="str">
        <f ca="1">IFERROR(__xludf.DUMMYFUNCTION("GOOGLETRANSLATE(B295,""ja"",""vi"")"),"monster Hunter")</f>
        <v>monster Hunter</v>
      </c>
      <c r="E295" t="str">
        <f t="shared" ca="1" si="4"/>
        <v>"2084236581" : "monster Hunter",</v>
      </c>
    </row>
    <row r="296" spans="1:5" ht="15.75" customHeight="1">
      <c r="A296" s="6">
        <v>2084305395</v>
      </c>
      <c r="B296" s="7" t="s">
        <v>533</v>
      </c>
      <c r="C296" s="7" t="s">
        <v>534</v>
      </c>
      <c r="D296" s="3" t="str">
        <f ca="1">IFERROR(__xludf.DUMMYFUNCTION("GOOGLETRANSLATE(B296,""ja"",""vi"")"),"love Plus")</f>
        <v>love Plus</v>
      </c>
      <c r="E296" t="str">
        <f t="shared" ca="1" si="4"/>
        <v>"2084305395" : "love Plus",</v>
      </c>
    </row>
    <row r="297" spans="1:5" ht="15.75" customHeight="1">
      <c r="A297" s="6">
        <v>2084239892</v>
      </c>
      <c r="B297" s="7" t="s">
        <v>535</v>
      </c>
      <c r="C297" s="7" t="s">
        <v>536</v>
      </c>
      <c r="D297" s="3" t="str">
        <f ca="1">IFERROR(__xludf.DUMMYFUNCTION("GOOGLETRANSLATE(B297,""ja"",""vi"")"),"Little Busters!")</f>
        <v>Little Busters!</v>
      </c>
      <c r="E297" t="str">
        <f t="shared" ca="1" si="4"/>
        <v>"2084239892" : "Little Busters!",</v>
      </c>
    </row>
    <row r="298" spans="1:5" ht="15.75" customHeight="1">
      <c r="A298" s="6">
        <v>2084242881</v>
      </c>
      <c r="B298" s="7" t="s">
        <v>537</v>
      </c>
      <c r="C298" s="7" t="s">
        <v>538</v>
      </c>
      <c r="D298" s="3" t="str">
        <f ca="1">IFERROR(__xludf.DUMMYFUNCTION("GOOGLETRANSLATE(B298,""ja"",""vi"")"),"Sengoku Basara")</f>
        <v>Sengoku Basara</v>
      </c>
      <c r="E298" t="str">
        <f t="shared" ca="1" si="4"/>
        <v>"2084242881" : "Sengoku Basara",</v>
      </c>
    </row>
    <row r="299" spans="1:5" ht="15.75" customHeight="1">
      <c r="A299" s="6">
        <v>2084242882</v>
      </c>
      <c r="B299" s="7" t="s">
        <v>539</v>
      </c>
      <c r="C299" s="7" t="s">
        <v>540</v>
      </c>
      <c r="D299" s="3" t="str">
        <f ca="1">IFERROR(__xludf.DUMMYFUNCTION("GOOGLETRANSLATE(B299,""ja"",""vi"")"),"Dự án Đông")</f>
        <v>Dự án Đông</v>
      </c>
      <c r="E299" t="str">
        <f t="shared" ca="1" si="4"/>
        <v>"2084242882" : "Dự án Đông",</v>
      </c>
    </row>
    <row r="300" spans="1:5" ht="15.75" customHeight="1">
      <c r="A300" s="6">
        <v>2084236099</v>
      </c>
      <c r="B300" s="7" t="s">
        <v>541</v>
      </c>
      <c r="C300" s="7" t="s">
        <v>542</v>
      </c>
      <c r="D300" s="3" t="str">
        <f ca="1">IFERROR(__xludf.DUMMYFUNCTION("GOOGLETRANSLATE(B300,""ja"",""vi"")"),"vũ trang Shinki")</f>
        <v>vũ trang Shinki</v>
      </c>
      <c r="E300" t="str">
        <f t="shared" ca="1" si="4"/>
        <v>"2084236099" : "vũ trang Shinki",</v>
      </c>
    </row>
    <row r="301" spans="1:5" ht="15.75" customHeight="1">
      <c r="A301" s="6">
        <v>2084040570</v>
      </c>
      <c r="B301" s="7" t="s">
        <v>105</v>
      </c>
      <c r="C301" s="7" t="s">
        <v>543</v>
      </c>
      <c r="D301" s="3" t="str">
        <f ca="1">IFERROR(__xludf.DUMMYFUNCTION("GOOGLETRANSLATE(B301,""ja"",""vi"")"),"nếu không thì")</f>
        <v>nếu không thì</v>
      </c>
      <c r="E301" t="str">
        <f t="shared" ca="1" si="4"/>
        <v>"2084040570" : "nếu không thì",</v>
      </c>
    </row>
    <row r="302" spans="1:5" ht="15.75" customHeight="1">
      <c r="A302" s="6">
        <v>2084040561</v>
      </c>
      <c r="B302" s="7" t="s">
        <v>544</v>
      </c>
      <c r="C302" s="7" t="s">
        <v>545</v>
      </c>
      <c r="D302" s="3" t="str">
        <f ca="1">IFERROR(__xludf.DUMMYFUNCTION("GOOGLETRANSLATE(B302,""ja"",""vi"")"),"Friday the 13th")</f>
        <v>Friday the 13th</v>
      </c>
      <c r="E302" t="str">
        <f t="shared" ca="1" si="4"/>
        <v>"2084040561" : "Friday the 13th",</v>
      </c>
    </row>
    <row r="303" spans="1:5" ht="15.75" customHeight="1">
      <c r="A303" s="6">
        <v>2084242884</v>
      </c>
      <c r="B303" s="7" t="s">
        <v>546</v>
      </c>
      <c r="C303" s="7" t="s">
        <v>547</v>
      </c>
      <c r="D303" s="3" t="str">
        <f ca="1">IFERROR(__xludf.DUMMYFUNCTION("GOOGLETRANSLATE(B303,""ja"",""vi"")"),"iron Man")</f>
        <v>iron Man</v>
      </c>
      <c r="E303" t="str">
        <f t="shared" ca="1" si="4"/>
        <v>"2084242884" : "iron Man",</v>
      </c>
    </row>
    <row r="304" spans="1:5" ht="15.75" customHeight="1">
      <c r="A304" s="6">
        <v>2084040558</v>
      </c>
      <c r="B304" s="7" t="s">
        <v>548</v>
      </c>
      <c r="C304" s="7" t="s">
        <v>549</v>
      </c>
      <c r="D304" s="3" t="str">
        <f ca="1">IFERROR(__xludf.DUMMYFUNCTION("GOOGLETRANSLATE(B304,""ja"",""vi"")"),"Alien")</f>
        <v>Alien</v>
      </c>
      <c r="E304" t="str">
        <f t="shared" ca="1" si="4"/>
        <v>"2084040558" : "Alien",</v>
      </c>
    </row>
    <row r="305" spans="1:5" ht="15.75" customHeight="1">
      <c r="A305" s="6">
        <v>2084040560</v>
      </c>
      <c r="B305" s="7" t="s">
        <v>550</v>
      </c>
      <c r="C305" s="7" t="s">
        <v>551</v>
      </c>
      <c r="D305" s="3" t="str">
        <f ca="1">IFERROR(__xludf.DUMMYFUNCTION("GOOGLETRANSLATE(B305,""ja"",""vi"")"),"Nightmare on Elm Street")</f>
        <v>Nightmare on Elm Street</v>
      </c>
      <c r="E305" t="str">
        <f t="shared" ca="1" si="4"/>
        <v>"2084040560" : "Nightmare on Elm Street",</v>
      </c>
    </row>
    <row r="306" spans="1:5" ht="15.75" customHeight="1">
      <c r="A306" s="6">
        <v>2084040585</v>
      </c>
      <c r="B306" s="7" t="s">
        <v>552</v>
      </c>
      <c r="C306" s="7" t="s">
        <v>553</v>
      </c>
      <c r="D306" s="3" t="str">
        <f ca="1">IFERROR(__xludf.DUMMYFUNCTION("GOOGLETRANSLATE(B306,""ja"",""vi"")"),"The Nightmare Before Christmas")</f>
        <v>The Nightmare Before Christmas</v>
      </c>
      <c r="E306" t="str">
        <f t="shared" ca="1" si="4"/>
        <v>"2084040585" : "The Nightmare Before Christmas",</v>
      </c>
    </row>
    <row r="307" spans="1:5" ht="15.75" customHeight="1">
      <c r="A307" s="6">
        <v>40577</v>
      </c>
      <c r="B307" s="7" t="s">
        <v>554</v>
      </c>
      <c r="C307" s="7" t="s">
        <v>555</v>
      </c>
      <c r="D307" s="3" t="str">
        <f ca="1">IFERROR(__xludf.DUMMYFUNCTION("GOOGLETRANSLATE(B307,""ja"",""vi"")"),"Star Wars loạt")</f>
        <v>Star Wars loạt</v>
      </c>
      <c r="E307" t="str">
        <f t="shared" ca="1" si="4"/>
        <v>"40577" : "Star Wars loạt",</v>
      </c>
    </row>
    <row r="308" spans="1:5" ht="15.75" customHeight="1">
      <c r="A308" s="6">
        <v>2084023848</v>
      </c>
      <c r="B308" s="7" t="s">
        <v>556</v>
      </c>
      <c r="C308" s="7" t="s">
        <v>557</v>
      </c>
      <c r="D308" s="3" t="str">
        <f ca="1">IFERROR(__xludf.DUMMYFUNCTION("GOOGLETRANSLATE(B308,""ja"",""vi"")"),"star trek")</f>
        <v>star trek</v>
      </c>
      <c r="E308" t="str">
        <f t="shared" ca="1" si="4"/>
        <v>"2084023848" : "star trek",</v>
      </c>
    </row>
    <row r="309" spans="1:5" ht="15.75" customHeight="1">
      <c r="A309" s="6">
        <v>2084242883</v>
      </c>
      <c r="B309" s="7" t="s">
        <v>558</v>
      </c>
      <c r="C309" s="7" t="s">
        <v>559</v>
      </c>
      <c r="D309" s="3" t="str">
        <f ca="1">IFERROR(__xludf.DUMMYFUNCTION("GOOGLETRANSLATE(B309,""ja"",""vi"")"),"Terminator")</f>
        <v>Terminator</v>
      </c>
      <c r="E309" t="str">
        <f t="shared" ca="1" si="4"/>
        <v>"2084242883" : "Terminator",</v>
      </c>
    </row>
    <row r="310" spans="1:5" ht="15.75" customHeight="1">
      <c r="A310" s="6">
        <v>2084040559</v>
      </c>
      <c r="B310" s="7" t="s">
        <v>560</v>
      </c>
      <c r="C310" s="7" t="s">
        <v>561</v>
      </c>
      <c r="D310" s="3" t="str">
        <f ca="1">IFERROR(__xludf.DUMMYFUNCTION("GOOGLETRANSLATE(B310,""ja"",""vi"")"),"Predator")</f>
        <v>Predator</v>
      </c>
      <c r="E310" t="str">
        <f t="shared" ca="1" si="4"/>
        <v>"2084040559" : "Predator",</v>
      </c>
    </row>
    <row r="311" spans="1:5" ht="15.75" customHeight="1">
      <c r="A311" s="6">
        <v>2084040563</v>
      </c>
      <c r="B311" s="7" t="s">
        <v>562</v>
      </c>
      <c r="C311" s="7" t="s">
        <v>563</v>
      </c>
      <c r="D311" s="3" t="str">
        <f ca="1">IFERROR(__xludf.DUMMYFUNCTION("GOOGLETRANSLATE(B311,""ja"",""vi"")"),"Planet of the Apes")</f>
        <v>Planet of the Apes</v>
      </c>
      <c r="E311" t="str">
        <f t="shared" ca="1" si="4"/>
        <v>"2084040563" : "Planet of the Apes",</v>
      </c>
    </row>
    <row r="312" spans="1:5" ht="15.75" customHeight="1">
      <c r="A312" s="6">
        <v>2084046903</v>
      </c>
      <c r="B312" s="7" t="s">
        <v>105</v>
      </c>
      <c r="C312" s="7" t="s">
        <v>564</v>
      </c>
      <c r="D312" s="3" t="str">
        <f ca="1">IFERROR(__xludf.DUMMYFUNCTION("GOOGLETRANSLATE(B312,""ja"",""vi"")"),"nếu không thì")</f>
        <v>nếu không thì</v>
      </c>
      <c r="E312" t="str">
        <f t="shared" ca="1" si="4"/>
        <v>"2084046903" : "nếu không thì",</v>
      </c>
    </row>
    <row r="313" spans="1:5" ht="15.75" customHeight="1">
      <c r="A313" s="6">
        <v>2084023775</v>
      </c>
      <c r="B313" s="7" t="s">
        <v>565</v>
      </c>
      <c r="C313" s="7" t="s">
        <v>566</v>
      </c>
      <c r="D313" s="3" t="str">
        <f ca="1">IFERROR(__xludf.DUMMYFUNCTION("GOOGLETRANSLATE(B313,""ja"",""vi"")"),"X-Men")</f>
        <v>X-Men</v>
      </c>
      <c r="E313" t="str">
        <f t="shared" ca="1" si="4"/>
        <v>"2084023775" : "X-Men",</v>
      </c>
    </row>
    <row r="314" spans="1:5" ht="15.75" customHeight="1">
      <c r="A314" s="6">
        <v>2084023772</v>
      </c>
      <c r="B314" s="7" t="s">
        <v>567</v>
      </c>
      <c r="C314" s="7" t="s">
        <v>568</v>
      </c>
      <c r="D314" s="3" t="str">
        <f ca="1">IFERROR(__xludf.DUMMYFUNCTION("GOOGLETRANSLATE(B314,""ja"",""vi"")"),"siêu nhân")</f>
        <v>siêu nhân</v>
      </c>
      <c r="E314" t="str">
        <f t="shared" ca="1" si="4"/>
        <v>"2084023772" : "siêu nhân",</v>
      </c>
    </row>
    <row r="315" spans="1:5" ht="15.75" customHeight="1">
      <c r="A315" s="6">
        <v>2084023771</v>
      </c>
      <c r="B315" s="7" t="s">
        <v>569</v>
      </c>
      <c r="C315" s="7" t="s">
        <v>570</v>
      </c>
      <c r="D315" s="3" t="str">
        <f ca="1">IFERROR(__xludf.DUMMYFUNCTION("GOOGLETRANSLATE(B315,""ja"",""vi"")"),"Spider man")</f>
        <v>Spider man</v>
      </c>
      <c r="E315" t="str">
        <f t="shared" ca="1" si="4"/>
        <v>"2084023771" : "Spider man",</v>
      </c>
    </row>
    <row r="316" spans="1:5" ht="15.75" customHeight="1">
      <c r="A316" s="6">
        <v>2084040694</v>
      </c>
      <c r="B316" s="7" t="s">
        <v>571</v>
      </c>
      <c r="C316" s="7" t="s">
        <v>572</v>
      </c>
      <c r="D316" s="3" t="str">
        <f ca="1">IFERROR(__xludf.DUMMYFUNCTION("GOOGLETRANSLATE(B316,""ja"",""vi"")"),"đẻ trứng")</f>
        <v>đẻ trứng</v>
      </c>
      <c r="E316" t="str">
        <f t="shared" ca="1" si="4"/>
        <v>"2084040694" : "đẻ trứng",</v>
      </c>
    </row>
    <row r="317" spans="1:5" ht="15.75" customHeight="1">
      <c r="A317" s="6">
        <v>2084023773</v>
      </c>
      <c r="B317" s="7" t="s">
        <v>573</v>
      </c>
      <c r="C317" s="7" t="s">
        <v>574</v>
      </c>
      <c r="D317" s="3" t="str">
        <f ca="1">IFERROR(__xludf.DUMMYFUNCTION("GOOGLETRANSLATE(B317,""ja"",""vi"")"),"người phi thường")</f>
        <v>người phi thường</v>
      </c>
      <c r="E317" t="str">
        <f t="shared" ca="1" si="4"/>
        <v>"2084023773" : "người phi thường",</v>
      </c>
    </row>
    <row r="318" spans="1:5" ht="15.75" customHeight="1">
      <c r="A318" s="6">
        <v>2084023777</v>
      </c>
      <c r="B318" s="7" t="s">
        <v>105</v>
      </c>
      <c r="C318" s="7" t="s">
        <v>575</v>
      </c>
      <c r="D318" s="3" t="str">
        <f ca="1">IFERROR(__xludf.DUMMYFUNCTION("GOOGLETRANSLATE(B318,""ja"",""vi"")"),"nếu không thì")</f>
        <v>nếu không thì</v>
      </c>
      <c r="E318" t="str">
        <f t="shared" ca="1" si="4"/>
        <v>"2084023777" : "nếu không thì",</v>
      </c>
    </row>
    <row r="319" spans="1:5" ht="15.75" customHeight="1">
      <c r="A319" s="6">
        <v>2084023792</v>
      </c>
      <c r="B319" s="7" t="s">
        <v>576</v>
      </c>
      <c r="C319" s="7" t="s">
        <v>577</v>
      </c>
      <c r="D319" s="3" t="str">
        <f ca="1">IFERROR(__xludf.DUMMYFUNCTION("GOOGLETRANSLATE(B319,""ja"",""vi"")"),"bóng đá")</f>
        <v>bóng đá</v>
      </c>
      <c r="E319" t="str">
        <f t="shared" ca="1" si="4"/>
        <v>"2084023792" : "bóng đá",</v>
      </c>
    </row>
    <row r="320" spans="1:5" ht="15.75" customHeight="1">
      <c r="A320" s="6">
        <v>2084023793</v>
      </c>
      <c r="B320" s="7" t="s">
        <v>578</v>
      </c>
      <c r="C320" s="7" t="s">
        <v>579</v>
      </c>
      <c r="D320" s="3" t="str">
        <f ca="1">IFERROR(__xludf.DUMMYFUNCTION("GOOGLETRANSLATE(B320,""ja"",""vi"")"),"cái giỏ")</f>
        <v>cái giỏ</v>
      </c>
      <c r="E320" t="str">
        <f t="shared" ca="1" si="4"/>
        <v>"2084023793" : "cái giỏ",</v>
      </c>
    </row>
    <row r="321" spans="1:5" ht="15.75" customHeight="1">
      <c r="A321" s="6">
        <v>2084023790</v>
      </c>
      <c r="B321" s="7" t="s">
        <v>580</v>
      </c>
      <c r="C321" s="7" t="s">
        <v>581</v>
      </c>
      <c r="D321" s="3" t="str">
        <f ca="1">IFERROR(__xludf.DUMMYFUNCTION("GOOGLETRANSLATE(B321,""ja"",""vi"")"),"Đấu vật, võ thuật")</f>
        <v>Đấu vật, võ thuật</v>
      </c>
      <c r="E321" t="str">
        <f t="shared" ca="1" si="4"/>
        <v>"2084023790" : "Đấu vật, võ thuật",</v>
      </c>
    </row>
    <row r="322" spans="1:5" ht="15.75" customHeight="1">
      <c r="A322" s="6">
        <v>2084023791</v>
      </c>
      <c r="B322" s="7" t="s">
        <v>582</v>
      </c>
      <c r="C322" s="7" t="s">
        <v>583</v>
      </c>
      <c r="D322" s="3" t="str">
        <f ca="1">IFERROR(__xludf.DUMMYFUNCTION("GOOGLETRANSLATE(B322,""ja"",""vi"")"),"bóng chày chuyên nghiệp")</f>
        <v>bóng chày chuyên nghiệp</v>
      </c>
      <c r="E322" t="str">
        <f t="shared" ref="E322:E385" ca="1" si="5">CONCATENATE(CHAR(34)&amp;"",A322,""&amp;CHAR(34)," : ", CHAR(34)&amp;"",D322,""&amp;CHAR(34),",")</f>
        <v>"2084023791" : "bóng chày chuyên nghiệp",</v>
      </c>
    </row>
    <row r="323" spans="1:5" ht="15.75" customHeight="1">
      <c r="A323" s="6">
        <v>2084023794</v>
      </c>
      <c r="B323" s="7" t="s">
        <v>105</v>
      </c>
      <c r="C323" s="7" t="s">
        <v>584</v>
      </c>
      <c r="D323" s="3" t="str">
        <f ca="1">IFERROR(__xludf.DUMMYFUNCTION("GOOGLETRANSLATE(B323,""ja"",""vi"")"),"nếu không thì")</f>
        <v>nếu không thì</v>
      </c>
      <c r="E323" t="str">
        <f t="shared" ca="1" si="5"/>
        <v>"2084023794" : "nếu không thì",</v>
      </c>
    </row>
    <row r="324" spans="1:5" ht="15.75" customHeight="1">
      <c r="A324" s="6">
        <v>2084023610</v>
      </c>
      <c r="B324" s="7" t="s">
        <v>585</v>
      </c>
      <c r="C324" s="7" t="s">
        <v>586</v>
      </c>
      <c r="D324" s="3" t="str">
        <f ca="1">IFERROR(__xludf.DUMMYFUNCTION("GOOGLETRANSLATE(B324,""ja"",""vi"")"),"G.I. Joe")</f>
        <v>G.I. Joe</v>
      </c>
      <c r="E324" t="str">
        <f t="shared" ca="1" si="5"/>
        <v>"2084023610" : "G.I. Joe",</v>
      </c>
    </row>
    <row r="325" spans="1:5" ht="15.75" customHeight="1">
      <c r="A325" s="6">
        <v>2084236098</v>
      </c>
      <c r="B325" s="7" t="s">
        <v>587</v>
      </c>
      <c r="C325" s="7" t="s">
        <v>588</v>
      </c>
      <c r="D325" s="3" t="str">
        <f ca="1">IFERROR(__xludf.DUMMYFUNCTION("GOOGLETRANSLATE(B325,""ja"",""vi"")"),"Cô gái làm mát")</f>
        <v>Cô gái làm mát</v>
      </c>
      <c r="E325" t="str">
        <f t="shared" ca="1" si="5"/>
        <v>"2084236098" : "Cô gái làm mát",</v>
      </c>
    </row>
    <row r="326" spans="1:5" ht="15.75" customHeight="1">
      <c r="A326" s="6">
        <v>2084023618</v>
      </c>
      <c r="B326" s="7" t="s">
        <v>589</v>
      </c>
      <c r="C326" s="7" t="s">
        <v>590</v>
      </c>
      <c r="D326" s="3" t="str">
        <f ca="1">IFERROR(__xludf.DUMMYFUNCTION("GOOGLETRANSLATE(B326,""ja"",""vi"")"),"quân phục, quần áo")</f>
        <v>quân phục, quần áo</v>
      </c>
      <c r="E326" t="str">
        <f t="shared" ca="1" si="5"/>
        <v>"2084023618" : "quân phục, quần áo",</v>
      </c>
    </row>
    <row r="327" spans="1:5" ht="15.75" customHeight="1">
      <c r="A327" s="6">
        <v>2084023620</v>
      </c>
      <c r="B327" s="7" t="s">
        <v>591</v>
      </c>
      <c r="C327" s="7" t="s">
        <v>592</v>
      </c>
      <c r="D327" s="3" t="str">
        <f ca="1">IFERROR(__xludf.DUMMYFUNCTION("GOOGLETRANSLATE(B327,""ja"",""vi"")"),"xe cộ")</f>
        <v>xe cộ</v>
      </c>
      <c r="E327" t="str">
        <f t="shared" ca="1" si="5"/>
        <v>"2084023620" : "xe cộ",</v>
      </c>
    </row>
    <row r="328" spans="1:5" ht="15.75" customHeight="1">
      <c r="A328" s="6">
        <v>2084023619</v>
      </c>
      <c r="B328" s="7" t="s">
        <v>593</v>
      </c>
      <c r="C328" s="7" t="s">
        <v>594</v>
      </c>
      <c r="D328" s="3" t="str">
        <f ca="1">IFERROR(__xludf.DUMMYFUNCTION("GOOGLETRANSLATE(B328,""ja"",""vi"")"),"Vũ khí, thiết bị cá nhân")</f>
        <v>Vũ khí, thiết bị cá nhân</v>
      </c>
      <c r="E328" t="str">
        <f t="shared" ca="1" si="5"/>
        <v>"2084023619" : "Vũ khí, thiết bị cá nhân",</v>
      </c>
    </row>
    <row r="329" spans="1:5" ht="15.75" customHeight="1">
      <c r="A329" s="6">
        <v>2084023621</v>
      </c>
      <c r="B329" s="7" t="s">
        <v>105</v>
      </c>
      <c r="C329" s="7" t="s">
        <v>595</v>
      </c>
      <c r="D329" s="3" t="str">
        <f ca="1">IFERROR(__xludf.DUMMYFUNCTION("GOOGLETRANSLATE(B329,""ja"",""vi"")"),"nếu không thì")</f>
        <v>nếu không thì</v>
      </c>
      <c r="E329" t="str">
        <f t="shared" ca="1" si="5"/>
        <v>"2084023621" : "nếu không thì",</v>
      </c>
    </row>
    <row r="330" spans="1:5" ht="15.75" customHeight="1">
      <c r="A330" s="6">
        <v>2084020055</v>
      </c>
      <c r="B330" s="7" t="s">
        <v>596</v>
      </c>
      <c r="C330" s="7" t="s">
        <v>597</v>
      </c>
      <c r="D330" s="3" t="str">
        <f ca="1">IFERROR(__xludf.DUMMYFUNCTION("GOOGLETRANSLATE(B330,""ja"",""vi"")"),"Paddington Gấu")</f>
        <v>Paddington Gấu</v>
      </c>
      <c r="E330" t="str">
        <f t="shared" ca="1" si="5"/>
        <v>"2084020055" : "Paddington Gấu",</v>
      </c>
    </row>
    <row r="331" spans="1:5" ht="15.75" customHeight="1">
      <c r="A331" s="6">
        <v>2084020052</v>
      </c>
      <c r="B331" s="7" t="s">
        <v>598</v>
      </c>
      <c r="C331" s="7" t="s">
        <v>599</v>
      </c>
      <c r="D331" s="3" t="str">
        <f ca="1">IFERROR(__xludf.DUMMYFUNCTION("GOOGLETRANSLATE(B331,""ja"",""vi"")"),"Babar voi")</f>
        <v>Babar voi</v>
      </c>
      <c r="E331" t="str">
        <f t="shared" ca="1" si="5"/>
        <v>"2084020052" : "Babar voi",</v>
      </c>
    </row>
    <row r="332" spans="1:5" ht="15.75" customHeight="1">
      <c r="A332" s="6">
        <v>2084020034</v>
      </c>
      <c r="B332" s="7" t="s">
        <v>600</v>
      </c>
      <c r="C332" s="7" t="s">
        <v>601</v>
      </c>
      <c r="D332" s="3" t="str">
        <f ca="1">IFERROR(__xludf.DUMMYFUNCTION("GOOGLETRANSLATE(B332,""ja"",""vi"")"),"Tarepanda")</f>
        <v>Tarepanda</v>
      </c>
      <c r="E332" t="str">
        <f t="shared" ca="1" si="5"/>
        <v>"2084020034" : "Tarepanda",</v>
      </c>
    </row>
    <row r="333" spans="1:5" ht="15.75" customHeight="1">
      <c r="A333" s="6">
        <v>2084020035</v>
      </c>
      <c r="B333" s="7" t="s">
        <v>602</v>
      </c>
      <c r="C333" s="7" t="s">
        <v>603</v>
      </c>
      <c r="D333" s="3" t="str">
        <f ca="1">IFERROR(__xludf.DUMMYFUNCTION("GOOGLETRANSLATE(B333,""ja"",""vi"")"),"My Neighbor Totoro")</f>
        <v>My Neighbor Totoro</v>
      </c>
      <c r="E333" t="str">
        <f t="shared" ca="1" si="5"/>
        <v>"2084020035" : "My Neighbor Totoro",</v>
      </c>
    </row>
    <row r="334" spans="1:5" ht="15.75" customHeight="1">
      <c r="A334" s="6">
        <v>2084020061</v>
      </c>
      <c r="B334" s="7" t="s">
        <v>604</v>
      </c>
      <c r="C334" s="7" t="s">
        <v>605</v>
      </c>
      <c r="D334" s="3" t="str">
        <f ca="1">IFERROR(__xludf.DUMMYFUNCTION("GOOGLETRANSLATE(B334,""ja"",""vi"")"),"Dokodemoissyo")</f>
        <v>Dokodemoissyo</v>
      </c>
      <c r="E334" t="str">
        <f t="shared" ca="1" si="5"/>
        <v>"2084020061" : "Dokodemoissyo",</v>
      </c>
    </row>
    <row r="335" spans="1:5" ht="15.75" customHeight="1">
      <c r="A335" s="6">
        <v>2084020056</v>
      </c>
      <c r="B335" s="7" t="s">
        <v>606</v>
      </c>
      <c r="C335" s="7" t="s">
        <v>607</v>
      </c>
      <c r="D335" s="3" t="str">
        <f ca="1">IFERROR(__xludf.DUMMYFUNCTION("GOOGLETRANSLATE(B335,""ja"",""vi"")"),"Curious George")</f>
        <v>Curious George</v>
      </c>
      <c r="E335" t="str">
        <f t="shared" ca="1" si="5"/>
        <v>"2084020056" : "Curious George",</v>
      </c>
    </row>
    <row r="336" spans="1:5" ht="15.75" customHeight="1">
      <c r="A336" s="6">
        <v>2084020050</v>
      </c>
      <c r="B336" s="7" t="s">
        <v>608</v>
      </c>
      <c r="C336" s="7" t="s">
        <v>609</v>
      </c>
      <c r="D336" s="3" t="str">
        <f ca="1">IFERROR(__xludf.DUMMYFUNCTION("GOOGLETRANSLATE(B336,""ja"",""vi"")"),"Anpanman")</f>
        <v>Anpanman</v>
      </c>
      <c r="E336" t="str">
        <f t="shared" ca="1" si="5"/>
        <v>"2084020050" : "Anpanman",</v>
      </c>
    </row>
    <row r="337" spans="1:5" ht="15.75" customHeight="1">
      <c r="A337" s="6">
        <v>2084020042</v>
      </c>
      <c r="B337" s="7" t="s">
        <v>610</v>
      </c>
      <c r="C337" s="7" t="s">
        <v>611</v>
      </c>
      <c r="D337" s="3" t="str">
        <f ca="1">IFERROR(__xludf.DUMMYFUNCTION("GOOGLETRANSLATE(B337,""ja"",""vi"")"),"chim gõ kiến")</f>
        <v>chim gõ kiến</v>
      </c>
      <c r="E337" t="str">
        <f t="shared" ca="1" si="5"/>
        <v>"2084020042" : "chim gõ kiến",</v>
      </c>
    </row>
    <row r="338" spans="1:5" ht="15.75" customHeight="1">
      <c r="A338" s="6">
        <v>2084020047</v>
      </c>
      <c r="B338" s="7" t="s">
        <v>612</v>
      </c>
      <c r="C338" s="7" t="s">
        <v>613</v>
      </c>
      <c r="D338" s="3" t="str">
        <f ca="1">IFERROR(__xludf.DUMMYFUNCTION("GOOGLETRANSLATE(B338,""ja"",""vi"")"),"Q Taro của ma")</f>
        <v>Q Taro của ma</v>
      </c>
      <c r="E338" t="str">
        <f t="shared" ca="1" si="5"/>
        <v>"2084020047" : "Q Taro của ma",</v>
      </c>
    </row>
    <row r="339" spans="1:5" ht="15.75" customHeight="1">
      <c r="A339" s="6">
        <v>2084020036</v>
      </c>
      <c r="B339" s="7" t="s">
        <v>614</v>
      </c>
      <c r="C339" s="7" t="s">
        <v>615</v>
      </c>
      <c r="D339" s="3" t="str">
        <f ca="1">IFERROR(__xludf.DUMMYFUNCTION("GOOGLETRANSLATE(B339,""ja"",""vi"")"),"Garfield")</f>
        <v>Garfield</v>
      </c>
      <c r="E339" t="str">
        <f t="shared" ca="1" si="5"/>
        <v>"2084020036" : "Garfield",</v>
      </c>
    </row>
    <row r="340" spans="1:5" ht="15.75" customHeight="1">
      <c r="A340" s="6">
        <v>2084020037</v>
      </c>
      <c r="B340" s="7" t="s">
        <v>616</v>
      </c>
      <c r="C340" s="7" t="s">
        <v>617</v>
      </c>
      <c r="D340" s="3" t="str">
        <f ca="1">IFERROR(__xludf.DUMMYFUNCTION("GOOGLETRANSLATE(B340,""ja"",""vi"")"),"Casper")</f>
        <v>Casper</v>
      </c>
      <c r="E340" t="str">
        <f t="shared" ca="1" si="5"/>
        <v>"2084020037" : "Casper",</v>
      </c>
    </row>
    <row r="341" spans="1:5" ht="15.75" customHeight="1">
      <c r="A341" s="6">
        <v>2084020016</v>
      </c>
      <c r="B341" s="7" t="s">
        <v>618</v>
      </c>
      <c r="C341" s="7" t="s">
        <v>619</v>
      </c>
      <c r="D341" s="3" t="str">
        <f ca="1">IFERROR(__xludf.DUMMYFUNCTION("GOOGLETRANSLATE(B341,""ja"",""vi"")"),"Kewpie")</f>
        <v>Kewpie</v>
      </c>
      <c r="E341" t="str">
        <f t="shared" ca="1" si="5"/>
        <v>"2084020016" : "Kewpie",</v>
      </c>
    </row>
    <row r="342" spans="1:5" ht="15.75" customHeight="1">
      <c r="A342" s="6">
        <v>2084048015</v>
      </c>
      <c r="B342" s="7" t="s">
        <v>620</v>
      </c>
      <c r="C342" s="7" t="s">
        <v>621</v>
      </c>
      <c r="D342" s="3" t="str">
        <f ca="1">IFERROR(__xludf.DUMMYFUNCTION("GOOGLETRANSLATE(B342,""ja"",""vi"")"),"Kubrick, gạch trần")</f>
        <v>Kubrick, gạch trần</v>
      </c>
      <c r="E342" t="str">
        <f t="shared" ca="1" si="5"/>
        <v>"2084048015" : "Kubrick, gạch trần",</v>
      </c>
    </row>
    <row r="343" spans="1:5" ht="15.75" customHeight="1">
      <c r="A343" s="6">
        <v>2084020058</v>
      </c>
      <c r="B343" s="7" t="s">
        <v>622</v>
      </c>
      <c r="C343" s="7" t="s">
        <v>623</v>
      </c>
      <c r="D343" s="3" t="str">
        <f ca="1">IFERROR(__xludf.DUMMYFUNCTION("GOOGLETRANSLATE(B343,""ja"",""vi"")"),"Gremlin")</f>
        <v>Gremlin</v>
      </c>
      <c r="E343" t="str">
        <f t="shared" ca="1" si="5"/>
        <v>"2084020058" : "Gremlin",</v>
      </c>
    </row>
    <row r="344" spans="1:5" ht="15.75" customHeight="1">
      <c r="A344" s="6">
        <v>2084020043</v>
      </c>
      <c r="B344" s="7" t="s">
        <v>624</v>
      </c>
      <c r="C344" s="7" t="s">
        <v>625</v>
      </c>
      <c r="D344" s="3" t="str">
        <f ca="1">IFERROR(__xludf.DUMMYFUNCTION("GOOGLETRANSLATE(B344,""ja"",""vi"")"),"Ken Ken")</f>
        <v>Ken Ken</v>
      </c>
      <c r="E344" t="str">
        <f t="shared" ca="1" si="5"/>
        <v>"2084020043" : "Ken Ken",</v>
      </c>
    </row>
    <row r="345" spans="1:5" ht="15.75" customHeight="1">
      <c r="A345" s="6">
        <v>2084005261</v>
      </c>
      <c r="B345" s="7" t="s">
        <v>626</v>
      </c>
      <c r="C345" s="7" t="s">
        <v>627</v>
      </c>
      <c r="D345" s="3" t="str">
        <f ca="1">IFERROR(__xludf.DUMMYFUNCTION("GOOGLETRANSLATE(B345,""ja"",""vi"")"),"Gia đình Sylvanian")</f>
        <v>Gia đình Sylvanian</v>
      </c>
      <c r="E345" t="str">
        <f t="shared" ca="1" si="5"/>
        <v>"2084005261" : "Gia đình Sylvanian",</v>
      </c>
    </row>
    <row r="346" spans="1:5" ht="15.75" customHeight="1">
      <c r="A346" s="6">
        <v>2084020051</v>
      </c>
      <c r="B346" s="7" t="s">
        <v>628</v>
      </c>
      <c r="C346" s="7" t="s">
        <v>629</v>
      </c>
      <c r="D346" s="3" t="str">
        <f ca="1">IFERROR(__xludf.DUMMYFUNCTION("GOOGLETRANSLATE(B346,""ja"",""vi"")"),"người tuyết được nắn")</f>
        <v>người tuyết được nắn</v>
      </c>
      <c r="E346" t="str">
        <f t="shared" ca="1" si="5"/>
        <v>"2084020051" : "người tuyết được nắn",</v>
      </c>
    </row>
    <row r="347" spans="1:5" ht="15.75" customHeight="1">
      <c r="A347" s="6">
        <v>2084034100</v>
      </c>
      <c r="B347" s="7" t="s">
        <v>630</v>
      </c>
      <c r="C347" s="7" t="s">
        <v>631</v>
      </c>
      <c r="D347" s="3" t="str">
        <f ca="1">IFERROR(__xludf.DUMMYFUNCTION("GOOGLETRANSLATE(B347,""ja"",""vi"")"),"The Smurfs")</f>
        <v>The Smurfs</v>
      </c>
      <c r="E347" t="str">
        <f t="shared" ca="1" si="5"/>
        <v>"2084034100" : "The Smurfs",</v>
      </c>
    </row>
    <row r="348" spans="1:5" ht="15.75" customHeight="1">
      <c r="A348" s="6">
        <v>2084020044</v>
      </c>
      <c r="B348" s="7" t="s">
        <v>632</v>
      </c>
      <c r="C348" s="7" t="s">
        <v>633</v>
      </c>
      <c r="D348" s="3" t="str">
        <f ca="1">IFERROR(__xludf.DUMMYFUNCTION("GOOGLETRANSLATE(B348,""ja"",""vi"")"),"Sesame Street")</f>
        <v>Sesame Street</v>
      </c>
      <c r="E348" t="str">
        <f t="shared" ca="1" si="5"/>
        <v>"2084020044" : "Sesame Street",</v>
      </c>
    </row>
    <row r="349" spans="1:5" ht="15.75" customHeight="1">
      <c r="A349" s="6">
        <v>2084040586</v>
      </c>
      <c r="B349" s="7" t="s">
        <v>634</v>
      </c>
      <c r="C349" s="7" t="s">
        <v>635</v>
      </c>
      <c r="D349" s="3" t="str">
        <f ca="1">IFERROR(__xludf.DUMMYFUNCTION("GOOGLETRANSLATE(B349,""ja"",""vi"")"),"Hug-chan")</f>
        <v>Hug-chan</v>
      </c>
      <c r="E349" t="str">
        <f t="shared" ca="1" si="5"/>
        <v>"2084040586" : "Hug-chan",</v>
      </c>
    </row>
    <row r="350" spans="1:5" ht="15.75" customHeight="1">
      <c r="A350" s="6">
        <v>2084020045</v>
      </c>
      <c r="B350" s="7" t="s">
        <v>636</v>
      </c>
      <c r="C350" s="7" t="s">
        <v>637</v>
      </c>
      <c r="D350" s="3" t="str">
        <f ca="1">IFERROR(__xludf.DUMMYFUNCTION("GOOGLETRANSLATE(B350,""ja"",""vi"")"),"Teletubbies")</f>
        <v>Teletubbies</v>
      </c>
      <c r="E350" t="str">
        <f t="shared" ca="1" si="5"/>
        <v>"2084020045" : "Teletubbies",</v>
      </c>
    </row>
    <row r="351" spans="1:5" ht="15.75" customHeight="1">
      <c r="A351" s="6">
        <v>27587</v>
      </c>
      <c r="B351" s="7" t="s">
        <v>429</v>
      </c>
      <c r="C351" s="7" t="s">
        <v>638</v>
      </c>
      <c r="D351" s="3" t="str">
        <f ca="1">IFERROR(__xludf.DUMMYFUNCTION("GOOGLETRANSLATE(B351,""ja"",""vi"")"),"Disney")</f>
        <v>Disney</v>
      </c>
      <c r="E351" t="str">
        <f t="shared" ca="1" si="5"/>
        <v>"27587" : "Disney",</v>
      </c>
    </row>
    <row r="352" spans="1:5" ht="15.75" customHeight="1">
      <c r="A352" s="6">
        <v>2084020046</v>
      </c>
      <c r="B352" s="7" t="s">
        <v>639</v>
      </c>
      <c r="C352" s="7" t="s">
        <v>640</v>
      </c>
      <c r="D352" s="3" t="str">
        <f ca="1">IFERROR(__xludf.DUMMYFUNCTION("GOOGLETRANSLATE(B352,""ja"",""vi"")"),"topo Gigio")</f>
        <v>topo Gigio</v>
      </c>
      <c r="E352" t="str">
        <f t="shared" ca="1" si="5"/>
        <v>"2084020046" : "topo Gigio",</v>
      </c>
    </row>
    <row r="353" spans="1:5" ht="15.75" customHeight="1">
      <c r="A353" s="6">
        <v>2084020041</v>
      </c>
      <c r="B353" s="7" t="s">
        <v>641</v>
      </c>
      <c r="C353" s="7" t="s">
        <v>642</v>
      </c>
      <c r="D353" s="3" t="str">
        <f ca="1">IFERROR(__xludf.DUMMYFUNCTION("GOOGLETRANSLATE(B353,""ja"",""vi"")"),"Tom &amp; Jerry")</f>
        <v>Tom &amp; Jerry</v>
      </c>
      <c r="E353" t="str">
        <f t="shared" ca="1" si="5"/>
        <v>"2084020041" : "Tom &amp; Jerry",</v>
      </c>
    </row>
    <row r="354" spans="1:5" ht="15.75" customHeight="1">
      <c r="A354" s="6">
        <v>2084020048</v>
      </c>
      <c r="B354" s="7" t="s">
        <v>643</v>
      </c>
      <c r="C354" s="7" t="s">
        <v>644</v>
      </c>
      <c r="D354" s="3" t="str">
        <f ca="1">IFERROR(__xludf.DUMMYFUNCTION("GOOGLETRANSLATE(B354,""ja"",""vi"")"),"Doraemon")</f>
        <v>Doraemon</v>
      </c>
      <c r="E354" t="str">
        <f t="shared" ca="1" si="5"/>
        <v>"2084020048" : "Doraemon",</v>
      </c>
    </row>
    <row r="355" spans="1:5" ht="15.75" customHeight="1">
      <c r="A355" s="6">
        <v>2084020033</v>
      </c>
      <c r="B355" s="7" t="s">
        <v>645</v>
      </c>
      <c r="C355" s="7" t="s">
        <v>646</v>
      </c>
      <c r="D355" s="3" t="str">
        <f ca="1">IFERROR(__xludf.DUMMYFUNCTION("GOOGLETRANSLATE(B355,""ja"",""vi"")"),"Hello Kitty")</f>
        <v>Hello Kitty</v>
      </c>
      <c r="E355" t="str">
        <f t="shared" ca="1" si="5"/>
        <v>"2084020033" : "Hello Kitty",</v>
      </c>
    </row>
    <row r="356" spans="1:5" ht="15.75" customHeight="1">
      <c r="A356" s="6">
        <v>2084020057</v>
      </c>
      <c r="B356" s="7" t="s">
        <v>647</v>
      </c>
      <c r="C356" s="7" t="s">
        <v>648</v>
      </c>
      <c r="D356" s="3" t="str">
        <f ca="1">IFERROR(__xludf.DUMMYFUNCTION("GOOGLETRANSLATE(B356,""ja"",""vi"")"),"Barbapapa")</f>
        <v>Barbapapa</v>
      </c>
      <c r="E356" t="str">
        <f t="shared" ca="1" si="5"/>
        <v>"2084020057" : "Barbapapa",</v>
      </c>
    </row>
    <row r="357" spans="1:5" ht="15.75" customHeight="1">
      <c r="A357" s="6">
        <v>2084020053</v>
      </c>
      <c r="B357" s="7" t="s">
        <v>649</v>
      </c>
      <c r="C357" s="7" t="s">
        <v>650</v>
      </c>
      <c r="D357" s="3" t="str">
        <f ca="1">IFERROR(__xludf.DUMMYFUNCTION("GOOGLETRANSLATE(B357,""ja"",""vi"")"),"Peter Rabbit")</f>
        <v>Peter Rabbit</v>
      </c>
      <c r="E357" t="str">
        <f t="shared" ca="1" si="5"/>
        <v>"2084020053" : "Peter Rabbit",</v>
      </c>
    </row>
    <row r="358" spans="1:5" ht="15.75" customHeight="1">
      <c r="A358" s="6">
        <v>25966</v>
      </c>
      <c r="B358" s="7" t="s">
        <v>651</v>
      </c>
      <c r="C358" s="7" t="s">
        <v>652</v>
      </c>
      <c r="D358" s="3" t="str">
        <f ca="1">IFERROR(__xludf.DUMMYFUNCTION("GOOGLETRANSLATE(B358,""ja"",""vi"")"),"Đậu phộng, Snoopy")</f>
        <v>Đậu phộng, Snoopy</v>
      </c>
      <c r="E358" t="str">
        <f t="shared" ca="1" si="5"/>
        <v>"25966" : "Đậu phộng, Snoopy",</v>
      </c>
    </row>
    <row r="359" spans="1:5" ht="15.75" customHeight="1">
      <c r="A359" s="6">
        <v>2084020040</v>
      </c>
      <c r="B359" s="7" t="s">
        <v>653</v>
      </c>
      <c r="C359" s="7" t="s">
        <v>654</v>
      </c>
      <c r="D359" s="3" t="str">
        <f ca="1">IFERROR(__xludf.DUMMYFUNCTION("GOOGLETRANSLATE(B359,""ja"",""vi"")"),"pink Panther")</f>
        <v>pink Panther</v>
      </c>
      <c r="E359" t="str">
        <f t="shared" ca="1" si="5"/>
        <v>"2084020040" : "pink Panther",</v>
      </c>
    </row>
    <row r="360" spans="1:5" ht="15.75" customHeight="1">
      <c r="A360" s="6">
        <v>2084020039</v>
      </c>
      <c r="B360" s="7" t="s">
        <v>655</v>
      </c>
      <c r="C360" s="7" t="s">
        <v>656</v>
      </c>
      <c r="D360" s="3" t="str">
        <f ca="1">IFERROR(__xludf.DUMMYFUNCTION("GOOGLETRANSLATE(B360,""ja"",""vi"")"),"Pingu")</f>
        <v>Pingu</v>
      </c>
      <c r="E360" t="str">
        <f t="shared" ca="1" si="5"/>
        <v>"2084020039" : "Pingu",</v>
      </c>
    </row>
    <row r="361" spans="1:5" ht="15.75" customHeight="1">
      <c r="A361" s="6">
        <v>2084020059</v>
      </c>
      <c r="B361" s="7" t="s">
        <v>657</v>
      </c>
      <c r="C361" s="7" t="s">
        <v>658</v>
      </c>
      <c r="D361" s="3" t="str">
        <f ca="1">IFERROR(__xludf.DUMMYFUNCTION("GOOGLETRANSLATE(B361,""ja"",""vi"")"),"vảy mủn trên da người bịnh")</f>
        <v>vảy mủn trên da người bịnh</v>
      </c>
      <c r="E361" t="str">
        <f t="shared" ca="1" si="5"/>
        <v>"2084020059" : "vảy mủn trên da người bịnh",</v>
      </c>
    </row>
    <row r="362" spans="1:5" ht="15.75" customHeight="1">
      <c r="A362" s="6">
        <v>2084046540</v>
      </c>
      <c r="B362" s="7" t="s">
        <v>659</v>
      </c>
      <c r="C362" s="7" t="s">
        <v>660</v>
      </c>
      <c r="D362" s="3" t="str">
        <f ca="1">IFERROR(__xludf.DUMMYFUNCTION("GOOGLETRANSLATE(B362,""ja"",""vi"")"),"Bryce")</f>
        <v>Bryce</v>
      </c>
      <c r="E362" t="str">
        <f t="shared" ca="1" si="5"/>
        <v>"2084046540" : "Bryce",</v>
      </c>
    </row>
    <row r="363" spans="1:5" ht="15.75" customHeight="1">
      <c r="A363" s="6">
        <v>2084049982</v>
      </c>
      <c r="B363" s="7" t="s">
        <v>661</v>
      </c>
      <c r="C363" s="7" t="s">
        <v>662</v>
      </c>
      <c r="D363" s="3" t="str">
        <f ca="1">IFERROR(__xludf.DUMMYFUNCTION("GOOGLETRANSLATE(B363,""ja"",""vi"")"),"Pullip")</f>
        <v>Pullip</v>
      </c>
      <c r="E363" t="str">
        <f t="shared" ca="1" si="5"/>
        <v>"2084049982" : "Pullip",</v>
      </c>
    </row>
    <row r="364" spans="1:5" ht="15.75" customHeight="1">
      <c r="A364" s="6">
        <v>2084020060</v>
      </c>
      <c r="B364" s="7" t="s">
        <v>663</v>
      </c>
      <c r="C364" s="7" t="s">
        <v>664</v>
      </c>
      <c r="D364" s="3" t="str">
        <f ca="1">IFERROR(__xludf.DUMMYFUNCTION("GOOGLETRANSLATE(B364,""ja"",""vi"")"),"Pokemon")</f>
        <v>Pokemon</v>
      </c>
      <c r="E364" t="str">
        <f t="shared" ca="1" si="5"/>
        <v>"2084020060" : "Pokemon",</v>
      </c>
    </row>
    <row r="365" spans="1:5" ht="15.75" customHeight="1">
      <c r="A365" s="6">
        <v>2084020038</v>
      </c>
      <c r="B365" s="7" t="s">
        <v>665</v>
      </c>
      <c r="C365" s="7" t="s">
        <v>666</v>
      </c>
      <c r="D365" s="3" t="str">
        <f ca="1">IFERROR(__xludf.DUMMYFUNCTION("GOOGLETRANSLATE(B365,""ja"",""vi"")"),"Popeye")</f>
        <v>Popeye</v>
      </c>
      <c r="E365" t="str">
        <f t="shared" ca="1" si="5"/>
        <v>"2084020038" : "Popeye",</v>
      </c>
    </row>
    <row r="366" spans="1:5" ht="15.75" customHeight="1">
      <c r="A366" s="6">
        <v>2084020054</v>
      </c>
      <c r="B366" s="7" t="s">
        <v>667</v>
      </c>
      <c r="C366" s="7" t="s">
        <v>668</v>
      </c>
      <c r="D366" s="3" t="str">
        <f ca="1">IFERROR(__xludf.DUMMYFUNCTION("GOOGLETRANSLATE(B366,""ja"",""vi"")"),"Miffy")</f>
        <v>Miffy</v>
      </c>
      <c r="E366" t="str">
        <f t="shared" ca="1" si="5"/>
        <v>"2084020054" : "Miffy",</v>
      </c>
    </row>
    <row r="367" spans="1:5" ht="15.75" customHeight="1">
      <c r="A367" s="6">
        <v>2084020049</v>
      </c>
      <c r="B367" s="7" t="s">
        <v>669</v>
      </c>
      <c r="C367" s="7" t="s">
        <v>670</v>
      </c>
      <c r="D367" s="3" t="str">
        <f ca="1">IFERROR(__xludf.DUMMYFUNCTION("GOOGLETRANSLATE(B367,""ja"",""vi"")"),"Moomin")</f>
        <v>Moomin</v>
      </c>
      <c r="E367" t="str">
        <f t="shared" ca="1" si="5"/>
        <v>"2084020049" : "Moomin",</v>
      </c>
    </row>
    <row r="368" spans="1:5" ht="15.75" customHeight="1">
      <c r="A368" s="6">
        <v>2084020062</v>
      </c>
      <c r="B368" s="7" t="s">
        <v>105</v>
      </c>
      <c r="C368" s="7" t="s">
        <v>671</v>
      </c>
      <c r="D368" s="3" t="str">
        <f ca="1">IFERROR(__xludf.DUMMYFUNCTION("GOOGLETRANSLATE(B368,""ja"",""vi"")"),"nếu không thì")</f>
        <v>nếu không thì</v>
      </c>
      <c r="E368" t="str">
        <f t="shared" ca="1" si="5"/>
        <v>"2084020062" : "nếu không thì",</v>
      </c>
    </row>
    <row r="369" spans="1:5" ht="15.75" customHeight="1">
      <c r="A369" s="6">
        <v>2084250345</v>
      </c>
      <c r="B369" s="7" t="s">
        <v>672</v>
      </c>
      <c r="C369" s="7" t="s">
        <v>673</v>
      </c>
      <c r="D369" s="3" t="str">
        <f ca="1">IFERROR(__xludf.DUMMYFUNCTION("GOOGLETRANSLATE(B369,""ja"",""vi"")"),"Armored Core")</f>
        <v>Armored Core</v>
      </c>
      <c r="E369" t="str">
        <f t="shared" ca="1" si="5"/>
        <v>"2084250345" : "Armored Core",</v>
      </c>
    </row>
    <row r="370" spans="1:5" ht="15.75" customHeight="1">
      <c r="A370" s="6">
        <v>2084250346</v>
      </c>
      <c r="B370" s="7" t="s">
        <v>486</v>
      </c>
      <c r="C370" s="7" t="s">
        <v>674</v>
      </c>
      <c r="D370" s="3" t="str">
        <f ca="1">IFERROR(__xludf.DUMMYFUNCTION("GOOGLETRANSLATE(B370,""ja"",""vi"")"),"Ultraman")</f>
        <v>Ultraman</v>
      </c>
      <c r="E370" t="str">
        <f t="shared" ca="1" si="5"/>
        <v>"2084250346" : "Ultraman",</v>
      </c>
    </row>
    <row r="371" spans="1:5" ht="15.75" customHeight="1">
      <c r="A371" s="6">
        <v>2084250360</v>
      </c>
      <c r="B371" s="7" t="s">
        <v>385</v>
      </c>
      <c r="C371" s="7" t="s">
        <v>675</v>
      </c>
      <c r="D371" s="3" t="str">
        <f ca="1">IFERROR(__xludf.DUMMYFUNCTION("GOOGLETRANSLATE(B371,""ja"",""vi"")"),"Space Battleship Yamato")</f>
        <v>Space Battleship Yamato</v>
      </c>
      <c r="E371" t="str">
        <f t="shared" ca="1" si="5"/>
        <v>"2084250360" : "Space Battleship Yamato",</v>
      </c>
    </row>
    <row r="372" spans="1:5" ht="15.75" customHeight="1">
      <c r="A372" s="6">
        <v>2084250335</v>
      </c>
      <c r="B372" s="7" t="s">
        <v>393</v>
      </c>
      <c r="C372" s="7" t="s">
        <v>676</v>
      </c>
      <c r="D372" s="3" t="str">
        <f ca="1">IFERROR(__xludf.DUMMYFUNCTION("GOOGLETRANSLATE(B372,""ja"",""vi"")"),"Gundam")</f>
        <v>Gundam</v>
      </c>
      <c r="E372" t="str">
        <f t="shared" ca="1" si="5"/>
        <v>"2084250335" : "Gundam",</v>
      </c>
    </row>
    <row r="373" spans="1:5" ht="15.75" customHeight="1">
      <c r="A373" s="6">
        <v>2084250348</v>
      </c>
      <c r="B373" s="7" t="s">
        <v>403</v>
      </c>
      <c r="C373" s="7" t="s">
        <v>677</v>
      </c>
      <c r="D373" s="3" t="str">
        <f ca="1">IFERROR(__xludf.DUMMYFUNCTION("GOOGLETRANSLATE(B373,""ja"",""vi"")"),"Code Geass")</f>
        <v>Code Geass</v>
      </c>
      <c r="E373" t="str">
        <f t="shared" ca="1" si="5"/>
        <v>"2084250348" : "Code Geass",</v>
      </c>
    </row>
    <row r="374" spans="1:5" ht="15.75" customHeight="1">
      <c r="A374" s="6">
        <v>2084250349</v>
      </c>
      <c r="B374" s="7" t="s">
        <v>678</v>
      </c>
      <c r="C374" s="7" t="s">
        <v>679</v>
      </c>
      <c r="D374" s="3" t="str">
        <f ca="1">IFERROR(__xludf.DUMMYFUNCTION("GOOGLETRANSLATE(B374,""ja"",""vi"")"),"Godzilla")</f>
        <v>Godzilla</v>
      </c>
      <c r="E374" t="str">
        <f t="shared" ca="1" si="5"/>
        <v>"2084250349" : "Godzilla",</v>
      </c>
    </row>
    <row r="375" spans="1:5" ht="15.75" customHeight="1">
      <c r="A375" s="6">
        <v>2084250361</v>
      </c>
      <c r="B375" s="7" t="s">
        <v>680</v>
      </c>
      <c r="C375" s="7" t="s">
        <v>681</v>
      </c>
      <c r="D375" s="3" t="str">
        <f ca="1">IFERROR(__xludf.DUMMYFUNCTION("GOOGLETRANSLATE(B375,""ja"",""vi"")"),"Patlabor")</f>
        <v>Patlabor</v>
      </c>
      <c r="E375" t="str">
        <f t="shared" ca="1" si="5"/>
        <v>"2084250361" : "Patlabor",</v>
      </c>
    </row>
    <row r="376" spans="1:5" ht="15.75" customHeight="1">
      <c r="A376" s="6">
        <v>2084250362</v>
      </c>
      <c r="B376" s="7" t="s">
        <v>682</v>
      </c>
      <c r="C376" s="7" t="s">
        <v>683</v>
      </c>
      <c r="D376" s="3" t="str">
        <f ca="1">IFERROR(__xludf.DUMMYFUNCTION("GOOGLETRANSLATE(B376,""ja"",""vi"")"),"Galaxy trôi Vifam")</f>
        <v>Galaxy trôi Vifam</v>
      </c>
      <c r="E376" t="str">
        <f t="shared" ca="1" si="5"/>
        <v>"2084250362" : "Galaxy trôi Vifam",</v>
      </c>
    </row>
    <row r="377" spans="1:5" ht="15.75" customHeight="1">
      <c r="A377" s="6">
        <v>2084250350</v>
      </c>
      <c r="B377" s="7" t="s">
        <v>684</v>
      </c>
      <c r="C377" s="7" t="s">
        <v>685</v>
      </c>
      <c r="D377" s="3" t="str">
        <f ca="1">IFERROR(__xludf.DUMMYFUNCTION("GOOGLETRANSLATE(B377,""ja"",""vi"")"),"tên của loài chim")</f>
        <v>tên của loài chim</v>
      </c>
      <c r="E377" t="str">
        <f t="shared" ca="1" si="5"/>
        <v>"2084250350" : "tên của loài chim",</v>
      </c>
    </row>
    <row r="378" spans="1:5" ht="15.75" customHeight="1">
      <c r="A378" s="6">
        <v>2084250351</v>
      </c>
      <c r="B378" s="7" t="s">
        <v>518</v>
      </c>
      <c r="C378" s="7" t="s">
        <v>686</v>
      </c>
      <c r="D378" s="3" t="str">
        <f ca="1">IFERROR(__xludf.DUMMYFUNCTION("GOOGLETRANSLATE(B378,""ja"",""vi"")"),"Super Robot Wars")</f>
        <v>Super Robot Wars</v>
      </c>
      <c r="E378" t="str">
        <f t="shared" ca="1" si="5"/>
        <v>"2084250351" : "Super Robot Wars",</v>
      </c>
    </row>
    <row r="379" spans="1:5" ht="15.75" customHeight="1">
      <c r="A379" s="6">
        <v>2084250352</v>
      </c>
      <c r="B379" s="7" t="s">
        <v>687</v>
      </c>
      <c r="C379" s="7" t="s">
        <v>688</v>
      </c>
      <c r="D379" s="3" t="str">
        <f ca="1">IFERROR(__xludf.DUMMYFUNCTION("GOOGLETRANSLATE(B379,""ja"",""vi"")"),"star Wars")</f>
        <v>star Wars</v>
      </c>
      <c r="E379" t="str">
        <f t="shared" ca="1" si="5"/>
        <v>"2084250352" : "star Wars",</v>
      </c>
    </row>
    <row r="380" spans="1:5" ht="15.75" customHeight="1">
      <c r="A380" s="6">
        <v>2084250353</v>
      </c>
      <c r="B380" s="7" t="s">
        <v>556</v>
      </c>
      <c r="C380" s="7" t="s">
        <v>689</v>
      </c>
      <c r="D380" s="3" t="str">
        <f ca="1">IFERROR(__xludf.DUMMYFUNCTION("GOOGLETRANSLATE(B380,""ja"",""vi"")"),"star trek")</f>
        <v>star trek</v>
      </c>
      <c r="E380" t="str">
        <f t="shared" ca="1" si="5"/>
        <v>"2084250353" : "star trek",</v>
      </c>
    </row>
    <row r="381" spans="1:5" ht="15.75" customHeight="1">
      <c r="A381" s="6">
        <v>2084250370</v>
      </c>
      <c r="B381" s="7" t="s">
        <v>690</v>
      </c>
      <c r="C381" s="7" t="s">
        <v>691</v>
      </c>
      <c r="D381" s="3" t="str">
        <f ca="1">IFERROR(__xludf.DUMMYFUNCTION("GOOGLETRANSLATE(B381,""ja"",""vi"")"),"Studio Ghibli")</f>
        <v>Studio Ghibli</v>
      </c>
      <c r="E381" t="str">
        <f t="shared" ca="1" si="5"/>
        <v>"2084250370" : "Studio Ghibli",</v>
      </c>
    </row>
    <row r="382" spans="1:5" ht="15.75" customHeight="1">
      <c r="A382" s="6">
        <v>2084250354</v>
      </c>
      <c r="B382" s="7" t="s">
        <v>692</v>
      </c>
      <c r="C382" s="7" t="s">
        <v>693</v>
      </c>
      <c r="D382" s="3" t="str">
        <f ca="1">IFERROR(__xludf.DUMMYFUNCTION("GOOGLETRANSLATE(B382,""ja"",""vi"")"),"Zoids")</f>
        <v>Zoids</v>
      </c>
      <c r="E382" t="str">
        <f t="shared" ca="1" si="5"/>
        <v>"2084250354" : "Zoids",</v>
      </c>
    </row>
    <row r="383" spans="1:5" ht="15.75" customHeight="1">
      <c r="A383" s="6">
        <v>2084250364</v>
      </c>
      <c r="B383" s="7" t="s">
        <v>694</v>
      </c>
      <c r="C383" s="7" t="s">
        <v>695</v>
      </c>
      <c r="D383" s="3" t="str">
        <f ca="1">IFERROR(__xludf.DUMMYFUNCTION("GOOGLETRANSLATE(B383,""ja"",""vi"")"),"Heavy Metal L-Gaim")</f>
        <v>Heavy Metal L-Gaim</v>
      </c>
      <c r="E383" t="str">
        <f t="shared" ca="1" si="5"/>
        <v>"2084250364" : "Heavy Metal L-Gaim",</v>
      </c>
    </row>
    <row r="384" spans="1:5" ht="15.75" customHeight="1">
      <c r="A384" s="6">
        <v>2084250365</v>
      </c>
      <c r="B384" s="7" t="s">
        <v>417</v>
      </c>
      <c r="C384" s="7" t="s">
        <v>696</v>
      </c>
      <c r="D384" s="3" t="str">
        <f ca="1">IFERROR(__xludf.DUMMYFUNCTION("GOOGLETRANSLATE(B384,""ja"",""vi"")"),"Neon Genesis Evangelion")</f>
        <v>Neon Genesis Evangelion</v>
      </c>
      <c r="E384" t="str">
        <f t="shared" ca="1" si="5"/>
        <v>"2084250365" : "Neon Genesis Evangelion",</v>
      </c>
    </row>
    <row r="385" spans="1:5" ht="15.75" customHeight="1">
      <c r="A385" s="6">
        <v>2084250366</v>
      </c>
      <c r="B385" s="7" t="s">
        <v>697</v>
      </c>
      <c r="C385" s="7" t="s">
        <v>698</v>
      </c>
      <c r="D385" s="3" t="str">
        <f ca="1">IFERROR(__xludf.DUMMYFUNCTION("GOOGLETRANSLATE(B385,""ja"",""vi"")"),"Xabungle")</f>
        <v>Xabungle</v>
      </c>
      <c r="E385" t="str">
        <f t="shared" ca="1" si="5"/>
        <v>"2084250366" : "Xabungle",</v>
      </c>
    </row>
    <row r="386" spans="1:5" ht="15.75" customHeight="1">
      <c r="A386" s="6">
        <v>2084250367</v>
      </c>
      <c r="B386" s="7" t="s">
        <v>699</v>
      </c>
      <c r="C386" s="7" t="s">
        <v>700</v>
      </c>
      <c r="D386" s="3" t="str">
        <f ca="1">IFERROR(__xludf.DUMMYFUNCTION("GOOGLETRANSLATE(B386,""ja"",""vi"")"),"Votoms")</f>
        <v>Votoms</v>
      </c>
      <c r="E386" t="str">
        <f t="shared" ref="E386:E449" ca="1" si="6">CONCATENATE(CHAR(34)&amp;"",A386,""&amp;CHAR(34)," : ", CHAR(34)&amp;"",D386,""&amp;CHAR(34),",")</f>
        <v>"2084250367" : "Votoms",</v>
      </c>
    </row>
    <row r="387" spans="1:5" ht="15.75" customHeight="1">
      <c r="A387" s="6">
        <v>2084310499</v>
      </c>
      <c r="B387" s="7" t="s">
        <v>701</v>
      </c>
      <c r="C387" s="7" t="s">
        <v>702</v>
      </c>
      <c r="D387" s="3" t="str">
        <f ca="1">IFERROR(__xludf.DUMMYFUNCTION("GOOGLETRANSLATE(B387,""ja"",""vi"")"),"The Little battlers")</f>
        <v>The Little battlers</v>
      </c>
      <c r="E387" t="str">
        <f t="shared" ca="1" si="6"/>
        <v>"2084310499" : "The Little battlers",</v>
      </c>
    </row>
    <row r="388" spans="1:5" ht="15.75" customHeight="1">
      <c r="A388" s="6">
        <v>2084250368</v>
      </c>
      <c r="B388" s="7" t="s">
        <v>703</v>
      </c>
      <c r="C388" s="7" t="s">
        <v>704</v>
      </c>
      <c r="D388" s="3" t="str">
        <f ca="1">IFERROR(__xludf.DUMMYFUNCTION("GOOGLETRANSLATE(B388,""ja"",""vi"")"),"Fang của Dougram mặt trời")</f>
        <v>Fang của Dougram mặt trời</v>
      </c>
      <c r="E388" t="str">
        <f t="shared" ca="1" si="6"/>
        <v>"2084250368" : "Fang của Dougram mặt trời",</v>
      </c>
    </row>
    <row r="389" spans="1:5" ht="15.75" customHeight="1">
      <c r="A389" s="6">
        <v>2084250369</v>
      </c>
      <c r="B389" s="7" t="s">
        <v>705</v>
      </c>
      <c r="C389" s="7" t="s">
        <v>706</v>
      </c>
      <c r="D389" s="3" t="str">
        <f ca="1">IFERROR(__xludf.DUMMYFUNCTION("GOOGLETRANSLATE(B389,""ja"",""vi"")"),"Space Runaway Ideon")</f>
        <v>Space Runaway Ideon</v>
      </c>
      <c r="E389" t="str">
        <f t="shared" ca="1" si="6"/>
        <v>"2084250369" : "Space Runaway Ideon",</v>
      </c>
    </row>
    <row r="390" spans="1:5" ht="15.75" customHeight="1">
      <c r="A390" s="6">
        <v>2084250355</v>
      </c>
      <c r="B390" s="7" t="s">
        <v>707</v>
      </c>
      <c r="C390" s="7" t="s">
        <v>708</v>
      </c>
      <c r="D390" s="3" t="str">
        <f ca="1">IFERROR(__xludf.DUMMYFUNCTION("GOOGLETRANSLATE(B390,""ja"",""vi"")"),"ảo On")</f>
        <v>ảo On</v>
      </c>
      <c r="E390" t="str">
        <f t="shared" ca="1" si="6"/>
        <v>"2084250355" : "ảo On",</v>
      </c>
    </row>
    <row r="391" spans="1:5" ht="15.75" customHeight="1">
      <c r="A391" s="6">
        <v>2084250356</v>
      </c>
      <c r="B391" s="7" t="s">
        <v>709</v>
      </c>
      <c r="C391" s="7" t="s">
        <v>710</v>
      </c>
      <c r="D391" s="3" t="str">
        <f ca="1">IFERROR(__xludf.DUMMYFUNCTION("GOOGLETRANSLATE(B391,""ja"",""vi"")"),"Macross")</f>
        <v>Macross</v>
      </c>
      <c r="E391" t="str">
        <f t="shared" ca="1" si="6"/>
        <v>"2084250356" : "Macross",</v>
      </c>
    </row>
    <row r="392" spans="1:5" ht="15.75" customHeight="1">
      <c r="A392" s="6">
        <v>2084250357</v>
      </c>
      <c r="B392" s="7" t="s">
        <v>711</v>
      </c>
      <c r="C392" s="7" t="s">
        <v>712</v>
      </c>
      <c r="D392" s="3" t="str">
        <f ca="1">IFERROR(__xludf.DUMMYFUNCTION("GOOGLETRANSLATE(B392,""ja"",""vi"")"),"Maschinen Krieger")</f>
        <v>Maschinen Krieger</v>
      </c>
      <c r="E392" t="str">
        <f t="shared" ca="1" si="6"/>
        <v>"2084250357" : "Maschinen Krieger",</v>
      </c>
    </row>
    <row r="393" spans="1:5" ht="15.75" customHeight="1">
      <c r="A393" s="6">
        <v>2084250358</v>
      </c>
      <c r="B393" s="7" t="s">
        <v>713</v>
      </c>
      <c r="C393" s="7" t="s">
        <v>714</v>
      </c>
      <c r="D393" s="3" t="str">
        <f ca="1">IFERROR(__xludf.DUMMYFUNCTION("GOOGLETRANSLATE(B393,""ja"",""vi"")"),"Mazinger Z")</f>
        <v>Mazinger Z</v>
      </c>
      <c r="E393" t="str">
        <f t="shared" ca="1" si="6"/>
        <v>"2084250358" : "Mazinger Z",</v>
      </c>
    </row>
    <row r="394" spans="1:5" ht="15.75" customHeight="1">
      <c r="A394" s="6">
        <v>2084250371</v>
      </c>
      <c r="B394" s="7" t="s">
        <v>715</v>
      </c>
      <c r="C394" s="7" t="s">
        <v>716</v>
      </c>
      <c r="D394" s="3" t="str">
        <f ca="1">IFERROR(__xludf.DUMMYFUNCTION("GOOGLETRANSLATE(B394,""ja"",""vi"")"),"Majin Anh hùng Wataru")</f>
        <v>Majin Anh hùng Wataru</v>
      </c>
      <c r="E394" t="str">
        <f t="shared" ca="1" si="6"/>
        <v>"2084250371" : "Majin Anh hùng Wataru",</v>
      </c>
    </row>
    <row r="395" spans="1:5" ht="15.75" customHeight="1">
      <c r="A395" s="6">
        <v>2084250359</v>
      </c>
      <c r="B395" s="7" t="s">
        <v>717</v>
      </c>
      <c r="C395" s="7" t="s">
        <v>718</v>
      </c>
      <c r="D395" s="3" t="str">
        <f ca="1">IFERROR(__xludf.DUMMYFUNCTION("GOOGLETRANSLATE(B395,""ja"",""vi"")"),"Robodatchi")</f>
        <v>Robodatchi</v>
      </c>
      <c r="E395" t="str">
        <f t="shared" ca="1" si="6"/>
        <v>"2084250359" : "Robodatchi",</v>
      </c>
    </row>
    <row r="396" spans="1:5" ht="15.75" customHeight="1">
      <c r="A396" s="6">
        <v>2084250375</v>
      </c>
      <c r="B396" s="7" t="s">
        <v>719</v>
      </c>
      <c r="C396" s="7" t="s">
        <v>720</v>
      </c>
      <c r="D396" s="3" t="str">
        <f ca="1">IFERROR(__xludf.DUMMYFUNCTION("GOOGLETRANSLATE(B396,""ja"",""vi"")"),"thành phẩm")</f>
        <v>thành phẩm</v>
      </c>
      <c r="E396" t="str">
        <f t="shared" ca="1" si="6"/>
        <v>"2084250375" : "thành phẩm",</v>
      </c>
    </row>
    <row r="397" spans="1:5" ht="15.75" customHeight="1">
      <c r="A397" s="6">
        <v>2084250373</v>
      </c>
      <c r="B397" s="7" t="s">
        <v>105</v>
      </c>
      <c r="C397" s="7" t="s">
        <v>721</v>
      </c>
      <c r="D397" s="3" t="str">
        <f ca="1">IFERROR(__xludf.DUMMYFUNCTION("GOOGLETRANSLATE(B397,""ja"",""vi"")"),"nếu không thì")</f>
        <v>nếu không thì</v>
      </c>
      <c r="E397" t="str">
        <f t="shared" ca="1" si="6"/>
        <v>"2084250373" : "nếu không thì",</v>
      </c>
    </row>
    <row r="398" spans="1:5" ht="15.75" customHeight="1">
      <c r="A398" s="6">
        <v>2084250265</v>
      </c>
      <c r="B398" s="7" t="s">
        <v>719</v>
      </c>
      <c r="C398" s="7" t="s">
        <v>722</v>
      </c>
      <c r="D398" s="3" t="str">
        <f ca="1">IFERROR(__xludf.DUMMYFUNCTION("GOOGLETRANSLATE(B398,""ja"",""vi"")"),"thành phẩm")</f>
        <v>thành phẩm</v>
      </c>
      <c r="E398" t="str">
        <f t="shared" ca="1" si="6"/>
        <v>"2084250265" : "thành phẩm",</v>
      </c>
    </row>
    <row r="399" spans="1:5" ht="15.75" customHeight="1">
      <c r="A399" s="6">
        <v>2084250272</v>
      </c>
      <c r="B399" s="7" t="s">
        <v>723</v>
      </c>
      <c r="C399" s="7" t="s">
        <v>724</v>
      </c>
      <c r="D399" s="3" t="str">
        <f ca="1">IFERROR(__xludf.DUMMYFUNCTION("GOOGLETRANSLATE(B399,""ja"",""vi"")"),"hành khách xe")</f>
        <v>hành khách xe</v>
      </c>
      <c r="E399" t="str">
        <f t="shared" ca="1" si="6"/>
        <v>"2084250272" : "hành khách xe",</v>
      </c>
    </row>
    <row r="400" spans="1:5" ht="15.75" customHeight="1">
      <c r="A400" s="6">
        <v>2084250266</v>
      </c>
      <c r="B400" s="7" t="s">
        <v>725</v>
      </c>
      <c r="C400" s="7" t="s">
        <v>726</v>
      </c>
      <c r="D400" s="3" t="str">
        <f ca="1">IFERROR(__xludf.DUMMYFUNCTION("GOOGLETRANSLATE(B400,""ja"",""vi"")"),"đua xe")</f>
        <v>đua xe</v>
      </c>
      <c r="E400" t="str">
        <f t="shared" ca="1" si="6"/>
        <v>"2084250266" : "đua xe",</v>
      </c>
    </row>
    <row r="401" spans="1:5" ht="15.75" customHeight="1">
      <c r="A401" s="6">
        <v>2084250296</v>
      </c>
      <c r="B401" s="7" t="s">
        <v>727</v>
      </c>
      <c r="C401" s="7" t="s">
        <v>728</v>
      </c>
      <c r="D401" s="3" t="str">
        <f ca="1">IFERROR(__xludf.DUMMYFUNCTION("GOOGLETRANSLATE(B401,""ja"",""vi"")"),"Xe tải, trailer")</f>
        <v>Xe tải, trailer</v>
      </c>
      <c r="E401" t="str">
        <f t="shared" ca="1" si="6"/>
        <v>"2084250296" : "Xe tải, trailer",</v>
      </c>
    </row>
    <row r="402" spans="1:5" ht="15.75" customHeight="1">
      <c r="A402" s="6">
        <v>2084250297</v>
      </c>
      <c r="B402" s="7" t="s">
        <v>729</v>
      </c>
      <c r="C402" s="7" t="s">
        <v>730</v>
      </c>
      <c r="D402" s="3" t="str">
        <f ca="1">IFERROR(__xludf.DUMMYFUNCTION("GOOGLETRANSLATE(B402,""ja"",""vi"")"),"xe buýt")</f>
        <v>xe buýt</v>
      </c>
      <c r="E402" t="str">
        <f t="shared" ca="1" si="6"/>
        <v>"2084250297" : "xe buýt",</v>
      </c>
    </row>
    <row r="403" spans="1:5" ht="15.75" customHeight="1">
      <c r="A403" s="6">
        <v>2084250298</v>
      </c>
      <c r="B403" s="7" t="s">
        <v>105</v>
      </c>
      <c r="C403" s="7" t="s">
        <v>731</v>
      </c>
      <c r="D403" s="3" t="str">
        <f ca="1">IFERROR(__xludf.DUMMYFUNCTION("GOOGLETRANSLATE(B403,""ja"",""vi"")"),"nếu không thì")</f>
        <v>nếu không thì</v>
      </c>
      <c r="E403" t="str">
        <f t="shared" ca="1" si="6"/>
        <v>"2084250298" : "nếu không thì",</v>
      </c>
    </row>
    <row r="404" spans="1:5" ht="15.75" customHeight="1">
      <c r="A404" s="6">
        <v>2084250308</v>
      </c>
      <c r="B404" s="7" t="s">
        <v>719</v>
      </c>
      <c r="C404" s="7" t="s">
        <v>732</v>
      </c>
      <c r="D404" s="3" t="str">
        <f ca="1">IFERROR(__xludf.DUMMYFUNCTION("GOOGLETRANSLATE(B404,""ja"",""vi"")"),"thành phẩm")</f>
        <v>thành phẩm</v>
      </c>
      <c r="E404" t="str">
        <f t="shared" ca="1" si="6"/>
        <v>"2084250308" : "thành phẩm",</v>
      </c>
    </row>
    <row r="405" spans="1:5" ht="15.75" customHeight="1">
      <c r="A405" s="6">
        <v>2084250309</v>
      </c>
      <c r="B405" s="7" t="s">
        <v>733</v>
      </c>
      <c r="C405" s="7" t="s">
        <v>734</v>
      </c>
      <c r="D405" s="3" t="str">
        <f ca="1">IFERROR(__xludf.DUMMYFUNCTION("GOOGLETRANSLATE(B405,""ja"",""vi"")"),"máy bay chiến đấu")</f>
        <v>máy bay chiến đấu</v>
      </c>
      <c r="E405" t="str">
        <f t="shared" ca="1" si="6"/>
        <v>"2084250309" : "máy bay chiến đấu",</v>
      </c>
    </row>
    <row r="406" spans="1:5" ht="15.75" customHeight="1">
      <c r="A406" s="6">
        <v>2084250315</v>
      </c>
      <c r="B406" s="7" t="s">
        <v>735</v>
      </c>
      <c r="C406" s="7" t="s">
        <v>736</v>
      </c>
      <c r="D406" s="3" t="str">
        <f ca="1">IFERROR(__xludf.DUMMYFUNCTION("GOOGLETRANSLATE(B406,""ja"",""vi"")"),"máy bay chở khách")</f>
        <v>máy bay chở khách</v>
      </c>
      <c r="E406" t="str">
        <f t="shared" ca="1" si="6"/>
        <v>"2084250315" : "máy bay chở khách",</v>
      </c>
    </row>
    <row r="407" spans="1:5" ht="15.75" customHeight="1">
      <c r="A407" s="6">
        <v>2084250316</v>
      </c>
      <c r="B407" s="7" t="s">
        <v>105</v>
      </c>
      <c r="C407" s="7" t="s">
        <v>737</v>
      </c>
      <c r="D407" s="3" t="str">
        <f ca="1">IFERROR(__xludf.DUMMYFUNCTION("GOOGLETRANSLATE(B407,""ja"",""vi"")"),"nếu không thì")</f>
        <v>nếu không thì</v>
      </c>
      <c r="E407" t="str">
        <f t="shared" ca="1" si="6"/>
        <v>"2084250316" : "nếu không thì",</v>
      </c>
    </row>
    <row r="408" spans="1:5" ht="15.75" customHeight="1">
      <c r="A408" s="6">
        <v>2084250300</v>
      </c>
      <c r="B408" s="7" t="s">
        <v>719</v>
      </c>
      <c r="C408" s="7" t="s">
        <v>738</v>
      </c>
      <c r="D408" s="3" t="str">
        <f ca="1">IFERROR(__xludf.DUMMYFUNCTION("GOOGLETRANSLATE(B408,""ja"",""vi"")"),"thành phẩm")</f>
        <v>thành phẩm</v>
      </c>
      <c r="E408" t="str">
        <f t="shared" ca="1" si="6"/>
        <v>"2084250300" : "thành phẩm",</v>
      </c>
    </row>
    <row r="409" spans="1:5" ht="15.75" customHeight="1">
      <c r="A409" s="6">
        <v>2084250301</v>
      </c>
      <c r="B409" s="7" t="s">
        <v>739</v>
      </c>
      <c r="C409" s="7" t="s">
        <v>740</v>
      </c>
      <c r="D409" s="3" t="str">
        <f ca="1">IFERROR(__xludf.DUMMYFUNCTION("GOOGLETRANSLATE(B409,""ja"",""vi"")"),"Kawasaki")</f>
        <v>Kawasaki</v>
      </c>
      <c r="E409" t="str">
        <f t="shared" ca="1" si="6"/>
        <v>"2084250301" : "Kawasaki",</v>
      </c>
    </row>
    <row r="410" spans="1:5" ht="15.75" customHeight="1">
      <c r="A410" s="6">
        <v>2084250302</v>
      </c>
      <c r="B410" s="7" t="s">
        <v>741</v>
      </c>
      <c r="C410" s="7" t="s">
        <v>742</v>
      </c>
      <c r="D410" s="3" t="str">
        <f ca="1">IFERROR(__xludf.DUMMYFUNCTION("GOOGLETRANSLATE(B410,""ja"",""vi"")"),"Suzuki")</f>
        <v>Suzuki</v>
      </c>
      <c r="E410" t="str">
        <f t="shared" ca="1" si="6"/>
        <v>"2084250302" : "Suzuki",</v>
      </c>
    </row>
    <row r="411" spans="1:5" ht="15.75" customHeight="1">
      <c r="A411" s="6">
        <v>2084250304</v>
      </c>
      <c r="B411" s="7" t="s">
        <v>743</v>
      </c>
      <c r="C411" s="7" t="s">
        <v>744</v>
      </c>
      <c r="D411" s="3" t="str">
        <f ca="1">IFERROR(__xludf.DUMMYFUNCTION("GOOGLETRANSLATE(B411,""ja"",""vi"")"),"Honda")</f>
        <v>Honda</v>
      </c>
      <c r="E411" t="str">
        <f t="shared" ca="1" si="6"/>
        <v>"2084250304" : "Honda",</v>
      </c>
    </row>
    <row r="412" spans="1:5" ht="15.75" customHeight="1">
      <c r="A412" s="6">
        <v>2084250305</v>
      </c>
      <c r="B412" s="7" t="s">
        <v>745</v>
      </c>
      <c r="C412" s="7" t="s">
        <v>746</v>
      </c>
      <c r="D412" s="3" t="str">
        <f ca="1">IFERROR(__xludf.DUMMYFUNCTION("GOOGLETRANSLATE(B412,""ja"",""vi"")"),"Yamaha")</f>
        <v>Yamaha</v>
      </c>
      <c r="E412" t="str">
        <f t="shared" ca="1" si="6"/>
        <v>"2084250305" : "Yamaha",</v>
      </c>
    </row>
    <row r="413" spans="1:5" ht="15.75" customHeight="1">
      <c r="A413" s="6">
        <v>2084250303</v>
      </c>
      <c r="B413" s="7" t="s">
        <v>747</v>
      </c>
      <c r="C413" s="7" t="s">
        <v>748</v>
      </c>
      <c r="D413" s="3" t="str">
        <f ca="1">IFERROR(__xludf.DUMMYFUNCTION("GOOGLETRANSLATE(B413,""ja"",""vi"")"),"Harley davidson")</f>
        <v>Harley davidson</v>
      </c>
      <c r="E413" t="str">
        <f t="shared" ca="1" si="6"/>
        <v>"2084250303" : "Harley davidson",</v>
      </c>
    </row>
    <row r="414" spans="1:5" ht="15.75" customHeight="1">
      <c r="A414" s="6">
        <v>2084250306</v>
      </c>
      <c r="B414" s="7" t="s">
        <v>105</v>
      </c>
      <c r="C414" s="7" t="s">
        <v>749</v>
      </c>
      <c r="D414" s="3" t="str">
        <f ca="1">IFERROR(__xludf.DUMMYFUNCTION("GOOGLETRANSLATE(B414,""ja"",""vi"")"),"nếu không thì")</f>
        <v>nếu không thì</v>
      </c>
      <c r="E414" t="str">
        <f t="shared" ca="1" si="6"/>
        <v>"2084250306" : "nếu không thì",</v>
      </c>
    </row>
    <row r="415" spans="1:5" ht="15.75" customHeight="1">
      <c r="A415" s="6">
        <v>2084250326</v>
      </c>
      <c r="B415" s="7" t="s">
        <v>719</v>
      </c>
      <c r="C415" s="7" t="s">
        <v>750</v>
      </c>
      <c r="D415" s="3" t="str">
        <f ca="1">IFERROR(__xludf.DUMMYFUNCTION("GOOGLETRANSLATE(B415,""ja"",""vi"")"),"thành phẩm")</f>
        <v>thành phẩm</v>
      </c>
      <c r="E415" t="str">
        <f t="shared" ca="1" si="6"/>
        <v>"2084250326" : "thành phẩm",</v>
      </c>
    </row>
    <row r="416" spans="1:5" ht="15.75" customHeight="1">
      <c r="A416" s="6">
        <v>2084250327</v>
      </c>
      <c r="B416" s="7" t="s">
        <v>751</v>
      </c>
      <c r="C416" s="7" t="s">
        <v>752</v>
      </c>
      <c r="D416" s="3" t="str">
        <f ca="1">IFERROR(__xludf.DUMMYFUNCTION("GOOGLETRANSLATE(B416,""ja"",""vi"")"),"Pháo tự hành (SPA)")</f>
        <v>Pháo tự hành (SPA)</v>
      </c>
      <c r="E416" t="str">
        <f t="shared" ca="1" si="6"/>
        <v>"2084250327" : "Pháo tự hành (SPA)",</v>
      </c>
    </row>
    <row r="417" spans="1:5" ht="15.75" customHeight="1">
      <c r="A417" s="6">
        <v>2084250328</v>
      </c>
      <c r="B417" s="7" t="s">
        <v>753</v>
      </c>
      <c r="C417" s="7" t="s">
        <v>754</v>
      </c>
      <c r="D417" s="3" t="str">
        <f ca="1">IFERROR(__xludf.DUMMYFUNCTION("GOOGLETRANSLATE(B417,""ja"",""vi"")"),"Xe tăng chủ lực (MBT)")</f>
        <v>Xe tăng chủ lực (MBT)</v>
      </c>
      <c r="E417" t="str">
        <f t="shared" ca="1" si="6"/>
        <v>"2084250328" : "Xe tăng chủ lực (MBT)",</v>
      </c>
    </row>
    <row r="418" spans="1:5" ht="15.75" customHeight="1">
      <c r="A418" s="6">
        <v>2084250329</v>
      </c>
      <c r="B418" s="7" t="s">
        <v>755</v>
      </c>
      <c r="C418" s="7" t="s">
        <v>756</v>
      </c>
      <c r="D418" s="3" t="str">
        <f ca="1">IFERROR(__xludf.DUMMYFUNCTION("GOOGLETRANSLATE(B418,""ja"",""vi"")"),"xe bọc thép (APC)")</f>
        <v>xe bọc thép (APC)</v>
      </c>
      <c r="E418" t="str">
        <f t="shared" ca="1" si="6"/>
        <v>"2084250329" : "xe bọc thép (APC)",</v>
      </c>
    </row>
    <row r="419" spans="1:5" ht="15.75" customHeight="1">
      <c r="A419" s="6">
        <v>2084250330</v>
      </c>
      <c r="B419" s="7" t="s">
        <v>757</v>
      </c>
      <c r="C419" s="7" t="s">
        <v>758</v>
      </c>
      <c r="D419" s="3" t="str">
        <f ca="1">IFERROR(__xludf.DUMMYFUNCTION("GOOGLETRANSLATE(B419,""ja"",""vi"")"),"Flakpanzer (AAT)")</f>
        <v>Flakpanzer (AAT)</v>
      </c>
      <c r="E419" t="str">
        <f t="shared" ca="1" si="6"/>
        <v>"2084250330" : "Flakpanzer (AAT)",</v>
      </c>
    </row>
    <row r="420" spans="1:5" ht="15.75" customHeight="1">
      <c r="A420" s="6">
        <v>2084250331</v>
      </c>
      <c r="B420" s="7" t="s">
        <v>759</v>
      </c>
      <c r="C420" s="7" t="s">
        <v>760</v>
      </c>
      <c r="D420" s="3" t="str">
        <f ca="1">IFERROR(__xludf.DUMMYFUNCTION("GOOGLETRANSLATE(B420,""ja"",""vi"")"),"Binh xe chiến đấu (AIFV)")</f>
        <v>Binh xe chiến đấu (AIFV)</v>
      </c>
      <c r="E420" t="str">
        <f t="shared" ca="1" si="6"/>
        <v>"2084250331" : "Binh xe chiến đấu (AIFV)",</v>
      </c>
    </row>
    <row r="421" spans="1:5" ht="15.75" customHeight="1">
      <c r="A421" s="6">
        <v>2084250332</v>
      </c>
      <c r="B421" s="7" t="s">
        <v>105</v>
      </c>
      <c r="C421" s="7" t="s">
        <v>761</v>
      </c>
      <c r="D421" s="3" t="str">
        <f ca="1">IFERROR(__xludf.DUMMYFUNCTION("GOOGLETRANSLATE(B421,""ja"",""vi"")"),"nếu không thì")</f>
        <v>nếu không thì</v>
      </c>
      <c r="E421" t="str">
        <f t="shared" ca="1" si="6"/>
        <v>"2084250332" : "nếu không thì",</v>
      </c>
    </row>
    <row r="422" spans="1:5" ht="15.75" customHeight="1">
      <c r="A422" s="6">
        <v>2084250318</v>
      </c>
      <c r="B422" s="7" t="s">
        <v>719</v>
      </c>
      <c r="C422" s="7" t="s">
        <v>762</v>
      </c>
      <c r="D422" s="3" t="str">
        <f ca="1">IFERROR(__xludf.DUMMYFUNCTION("GOOGLETRANSLATE(B422,""ja"",""vi"")"),"thành phẩm")</f>
        <v>thành phẩm</v>
      </c>
      <c r="E422" t="str">
        <f t="shared" ca="1" si="6"/>
        <v>"2084250318" : "thành phẩm",</v>
      </c>
    </row>
    <row r="423" spans="1:5" ht="15.75" customHeight="1">
      <c r="A423" s="6">
        <v>2084250319</v>
      </c>
      <c r="B423" s="7" t="s">
        <v>763</v>
      </c>
      <c r="C423" s="7" t="s">
        <v>764</v>
      </c>
      <c r="D423" s="3" t="str">
        <f ca="1">IFERROR(__xludf.DUMMYFUNCTION("GOOGLETRANSLATE(B423,""ja"",""vi"")"),"tàu")</f>
        <v>tàu</v>
      </c>
      <c r="E423" t="str">
        <f t="shared" ca="1" si="6"/>
        <v>"2084250319" : "tàu",</v>
      </c>
    </row>
    <row r="424" spans="1:5" ht="15.75" customHeight="1">
      <c r="A424" s="6">
        <v>2084250324</v>
      </c>
      <c r="B424" s="7" t="s">
        <v>105</v>
      </c>
      <c r="C424" s="7" t="s">
        <v>765</v>
      </c>
      <c r="D424" s="3" t="str">
        <f ca="1">IFERROR(__xludf.DUMMYFUNCTION("GOOGLETRANSLATE(B424,""ja"",""vi"")"),"nếu không thì")</f>
        <v>nếu không thì</v>
      </c>
      <c r="E424" t="str">
        <f t="shared" ca="1" si="6"/>
        <v>"2084250324" : "nếu không thì",</v>
      </c>
    </row>
    <row r="425" spans="1:5" ht="15.75" customHeight="1">
      <c r="A425" s="6">
        <v>2084063790</v>
      </c>
      <c r="B425" s="7" t="s">
        <v>766</v>
      </c>
      <c r="C425" s="7" t="s">
        <v>767</v>
      </c>
      <c r="D425" s="3" t="str">
        <f ca="1">IFERROR(__xludf.DUMMYFUNCTION("GOOGLETRANSLATE(B425,""ja"",""vi"")"),"dụng cụ")</f>
        <v>dụng cụ</v>
      </c>
      <c r="E425" t="str">
        <f t="shared" ca="1" si="6"/>
        <v>"2084063790" : "dụng cụ",</v>
      </c>
    </row>
    <row r="426" spans="1:5" ht="15.75" customHeight="1">
      <c r="A426" s="6">
        <v>2084063791</v>
      </c>
      <c r="B426" s="7" t="s">
        <v>768</v>
      </c>
      <c r="C426" s="7" t="s">
        <v>769</v>
      </c>
      <c r="D426" s="3" t="str">
        <f ca="1">IFERROR(__xludf.DUMMYFUNCTION("GOOGLETRANSLATE(B426,""ja"",""vi"")"),"vẽ cung cấp")</f>
        <v>vẽ cung cấp</v>
      </c>
      <c r="E426" t="str">
        <f t="shared" ca="1" si="6"/>
        <v>"2084063791" : "vẽ cung cấp",</v>
      </c>
    </row>
    <row r="427" spans="1:5" ht="15.75" customHeight="1">
      <c r="A427" s="6">
        <v>2084063795</v>
      </c>
      <c r="B427" s="7" t="s">
        <v>770</v>
      </c>
      <c r="C427" s="7" t="s">
        <v>771</v>
      </c>
      <c r="D427" s="3" t="str">
        <f ca="1">IFERROR(__xludf.DUMMYFUNCTION("GOOGLETRANSLATE(B427,""ja"",""vi"")"),"nguồn cung cấp chất kết dính")</f>
        <v>nguồn cung cấp chất kết dính</v>
      </c>
      <c r="E427" t="str">
        <f t="shared" ca="1" si="6"/>
        <v>"2084063795" : "nguồn cung cấp chất kết dính",</v>
      </c>
    </row>
    <row r="428" spans="1:5" ht="15.75" customHeight="1">
      <c r="A428" s="6">
        <v>2084316146</v>
      </c>
      <c r="B428" s="7" t="s">
        <v>772</v>
      </c>
      <c r="C428" s="7" t="s">
        <v>773</v>
      </c>
      <c r="D428" s="3" t="str">
        <f ca="1">IFERROR(__xludf.DUMMYFUNCTION("GOOGLETRANSLATE(B428,""ja"",""vi"")"),"Drone cơ thể")</f>
        <v>Drone cơ thể</v>
      </c>
      <c r="E428" t="str">
        <f t="shared" ca="1" si="6"/>
        <v>"2084316146" : "Drone cơ thể",</v>
      </c>
    </row>
    <row r="429" spans="1:5" ht="15.75" customHeight="1">
      <c r="A429" s="6">
        <v>2084316147</v>
      </c>
      <c r="B429" s="7" t="s">
        <v>774</v>
      </c>
      <c r="C429" s="7" t="s">
        <v>775</v>
      </c>
      <c r="D429" s="3" t="str">
        <f ca="1">IFERROR(__xludf.DUMMYFUNCTION("GOOGLETRANSLATE(B429,""ja"",""vi"")"),"Phụ tùng, phụ kiện")</f>
        <v>Phụ tùng, phụ kiện</v>
      </c>
      <c r="E429" t="str">
        <f t="shared" ca="1" si="6"/>
        <v>"2084316147" : "Phụ tùng, phụ kiện",</v>
      </c>
    </row>
    <row r="430" spans="1:5" ht="15.75" customHeight="1">
      <c r="A430" s="6">
        <v>2084251214</v>
      </c>
      <c r="B430" s="7" t="s">
        <v>776</v>
      </c>
      <c r="C430" s="7" t="s">
        <v>777</v>
      </c>
      <c r="D430" s="3" t="str">
        <f ca="1">IFERROR(__xludf.DUMMYFUNCTION("GOOGLETRANSLATE(B430,""ja"",""vi"")"),"Hoàn tất sản phẩm (động cơ)")</f>
        <v>Hoàn tất sản phẩm (động cơ)</v>
      </c>
      <c r="E430" t="str">
        <f t="shared" ca="1" si="6"/>
        <v>"2084251214" : "Hoàn tất sản phẩm (động cơ)",</v>
      </c>
    </row>
    <row r="431" spans="1:5" ht="15.75" customHeight="1">
      <c r="A431" s="6">
        <v>2084251215</v>
      </c>
      <c r="B431" s="7" t="s">
        <v>778</v>
      </c>
      <c r="C431" s="7" t="s">
        <v>779</v>
      </c>
      <c r="D431" s="3" t="str">
        <f ca="1">IFERROR(__xludf.DUMMYFUNCTION("GOOGLETRANSLATE(B431,""ja"",""vi"")"),"Hoàn tất sản phẩm (điện)")</f>
        <v>Hoàn tất sản phẩm (điện)</v>
      </c>
      <c r="E431" t="str">
        <f t="shared" ca="1" si="6"/>
        <v>"2084251215" : "Hoàn tất sản phẩm (điện)",</v>
      </c>
    </row>
    <row r="432" spans="1:5" ht="15.75" customHeight="1">
      <c r="A432" s="6">
        <v>2084251221</v>
      </c>
      <c r="B432" s="7" t="s">
        <v>780</v>
      </c>
      <c r="C432" s="7" t="s">
        <v>781</v>
      </c>
      <c r="D432" s="3" t="str">
        <f ca="1">IFERROR(__xludf.DUMMYFUNCTION("GOOGLETRANSLATE(B432,""ja"",""vi"")"),"bộ lắp ráp (động cơ)")</f>
        <v>bộ lắp ráp (động cơ)</v>
      </c>
      <c r="E432" t="str">
        <f t="shared" ca="1" si="6"/>
        <v>"2084251221" : "bộ lắp ráp (động cơ)",</v>
      </c>
    </row>
    <row r="433" spans="1:5" ht="15.75" customHeight="1">
      <c r="A433" s="6">
        <v>2084251222</v>
      </c>
      <c r="B433" s="7" t="s">
        <v>782</v>
      </c>
      <c r="C433" s="7" t="s">
        <v>783</v>
      </c>
      <c r="D433" s="3" t="str">
        <f ca="1">IFERROR(__xludf.DUMMYFUNCTION("GOOGLETRANSLATE(B433,""ja"",""vi"")"),"bộ lắp ráp (điện)")</f>
        <v>bộ lắp ráp (điện)</v>
      </c>
      <c r="E433" t="str">
        <f t="shared" ca="1" si="6"/>
        <v>"2084251222" : "bộ lắp ráp (điện)",</v>
      </c>
    </row>
    <row r="434" spans="1:5" ht="15.75" customHeight="1">
      <c r="A434" s="6">
        <v>2084251228</v>
      </c>
      <c r="B434" s="7" t="s">
        <v>784</v>
      </c>
      <c r="C434" s="7" t="s">
        <v>785</v>
      </c>
      <c r="D434" s="3" t="str">
        <f ca="1">IFERROR(__xludf.DUMMYFUNCTION("GOOGLETRANSLATE(B434,""ja"",""vi"")"),"bộ phận")</f>
        <v>bộ phận</v>
      </c>
      <c r="E434" t="str">
        <f t="shared" ca="1" si="6"/>
        <v>"2084251228" : "bộ phận",</v>
      </c>
    </row>
    <row r="435" spans="1:5" ht="15.75" customHeight="1">
      <c r="A435" s="6">
        <v>2084251244</v>
      </c>
      <c r="B435" s="7" t="s">
        <v>105</v>
      </c>
      <c r="C435" s="7" t="s">
        <v>786</v>
      </c>
      <c r="D435" s="3" t="str">
        <f ca="1">IFERROR(__xludf.DUMMYFUNCTION("GOOGLETRANSLATE(B435,""ja"",""vi"")"),"nếu không thì")</f>
        <v>nếu không thì</v>
      </c>
      <c r="E435" t="str">
        <f t="shared" ca="1" si="6"/>
        <v>"2084251244" : "nếu không thì",</v>
      </c>
    </row>
    <row r="436" spans="1:5" ht="15.75" customHeight="1">
      <c r="A436" s="6">
        <v>2084251246</v>
      </c>
      <c r="B436" s="7" t="s">
        <v>776</v>
      </c>
      <c r="C436" s="7" t="s">
        <v>787</v>
      </c>
      <c r="D436" s="3" t="str">
        <f ca="1">IFERROR(__xludf.DUMMYFUNCTION("GOOGLETRANSLATE(B436,""ja"",""vi"")"),"Hoàn tất sản phẩm (động cơ)")</f>
        <v>Hoàn tất sản phẩm (động cơ)</v>
      </c>
      <c r="E436" t="str">
        <f t="shared" ca="1" si="6"/>
        <v>"2084251246" : "Hoàn tất sản phẩm (động cơ)",</v>
      </c>
    </row>
    <row r="437" spans="1:5" ht="15.75" customHeight="1">
      <c r="A437" s="6">
        <v>2084251247</v>
      </c>
      <c r="B437" s="7" t="s">
        <v>778</v>
      </c>
      <c r="C437" s="7" t="s">
        <v>788</v>
      </c>
      <c r="D437" s="3" t="str">
        <f ca="1">IFERROR(__xludf.DUMMYFUNCTION("GOOGLETRANSLATE(B437,""ja"",""vi"")"),"Hoàn tất sản phẩm (điện)")</f>
        <v>Hoàn tất sản phẩm (điện)</v>
      </c>
      <c r="E437" t="str">
        <f t="shared" ca="1" si="6"/>
        <v>"2084251247" : "Hoàn tất sản phẩm (điện)",</v>
      </c>
    </row>
    <row r="438" spans="1:5" ht="15.75" customHeight="1">
      <c r="A438" s="6">
        <v>2084251248</v>
      </c>
      <c r="B438" s="7" t="s">
        <v>780</v>
      </c>
      <c r="C438" s="7" t="s">
        <v>789</v>
      </c>
      <c r="D438" s="3" t="str">
        <f ca="1">IFERROR(__xludf.DUMMYFUNCTION("GOOGLETRANSLATE(B438,""ja"",""vi"")"),"bộ lắp ráp (động cơ)")</f>
        <v>bộ lắp ráp (động cơ)</v>
      </c>
      <c r="E438" t="str">
        <f t="shared" ca="1" si="6"/>
        <v>"2084251248" : "bộ lắp ráp (động cơ)",</v>
      </c>
    </row>
    <row r="439" spans="1:5" ht="15.75" customHeight="1">
      <c r="A439" s="6">
        <v>2084251249</v>
      </c>
      <c r="B439" s="7" t="s">
        <v>782</v>
      </c>
      <c r="C439" s="7" t="s">
        <v>790</v>
      </c>
      <c r="D439" s="3" t="str">
        <f ca="1">IFERROR(__xludf.DUMMYFUNCTION("GOOGLETRANSLATE(B439,""ja"",""vi"")"),"bộ lắp ráp (điện)")</f>
        <v>bộ lắp ráp (điện)</v>
      </c>
      <c r="E439" t="str">
        <f t="shared" ca="1" si="6"/>
        <v>"2084251249" : "bộ lắp ráp (điện)",</v>
      </c>
    </row>
    <row r="440" spans="1:5" ht="15.75" customHeight="1">
      <c r="A440" s="6">
        <v>2084251250</v>
      </c>
      <c r="B440" s="7" t="s">
        <v>784</v>
      </c>
      <c r="C440" s="7" t="s">
        <v>791</v>
      </c>
      <c r="D440" s="3" t="str">
        <f ca="1">IFERROR(__xludf.DUMMYFUNCTION("GOOGLETRANSLATE(B440,""ja"",""vi"")"),"bộ phận")</f>
        <v>bộ phận</v>
      </c>
      <c r="E440" t="str">
        <f t="shared" ca="1" si="6"/>
        <v>"2084251250" : "bộ phận",</v>
      </c>
    </row>
    <row r="441" spans="1:5" ht="15.75" customHeight="1">
      <c r="A441" s="6">
        <v>2084251251</v>
      </c>
      <c r="B441" s="7" t="s">
        <v>105</v>
      </c>
      <c r="C441" s="7" t="s">
        <v>792</v>
      </c>
      <c r="D441" s="3" t="str">
        <f ca="1">IFERROR(__xludf.DUMMYFUNCTION("GOOGLETRANSLATE(B441,""ja"",""vi"")"),"nếu không thì")</f>
        <v>nếu không thì</v>
      </c>
      <c r="E441" t="str">
        <f t="shared" ca="1" si="6"/>
        <v>"2084251251" : "nếu không thì",</v>
      </c>
    </row>
    <row r="442" spans="1:5" ht="15.75" customHeight="1">
      <c r="A442" s="6">
        <v>2084251253</v>
      </c>
      <c r="B442" s="7" t="s">
        <v>776</v>
      </c>
      <c r="C442" s="7" t="s">
        <v>793</v>
      </c>
      <c r="D442" s="3" t="str">
        <f ca="1">IFERROR(__xludf.DUMMYFUNCTION("GOOGLETRANSLATE(B442,""ja"",""vi"")"),"Hoàn tất sản phẩm (động cơ)")</f>
        <v>Hoàn tất sản phẩm (động cơ)</v>
      </c>
      <c r="E442" t="str">
        <f t="shared" ca="1" si="6"/>
        <v>"2084251253" : "Hoàn tất sản phẩm (động cơ)",</v>
      </c>
    </row>
    <row r="443" spans="1:5" ht="15.75" customHeight="1">
      <c r="A443" s="6">
        <v>2084251254</v>
      </c>
      <c r="B443" s="7" t="s">
        <v>778</v>
      </c>
      <c r="C443" s="7" t="s">
        <v>794</v>
      </c>
      <c r="D443" s="3" t="str">
        <f ca="1">IFERROR(__xludf.DUMMYFUNCTION("GOOGLETRANSLATE(B443,""ja"",""vi"")"),"Hoàn tất sản phẩm (điện)")</f>
        <v>Hoàn tất sản phẩm (điện)</v>
      </c>
      <c r="E443" t="str">
        <f t="shared" ca="1" si="6"/>
        <v>"2084251254" : "Hoàn tất sản phẩm (điện)",</v>
      </c>
    </row>
    <row r="444" spans="1:5" ht="15.75" customHeight="1">
      <c r="A444" s="6">
        <v>2084251255</v>
      </c>
      <c r="B444" s="7" t="s">
        <v>780</v>
      </c>
      <c r="C444" s="7" t="s">
        <v>795</v>
      </c>
      <c r="D444" s="3" t="str">
        <f ca="1">IFERROR(__xludf.DUMMYFUNCTION("GOOGLETRANSLATE(B444,""ja"",""vi"")"),"bộ lắp ráp (động cơ)")</f>
        <v>bộ lắp ráp (động cơ)</v>
      </c>
      <c r="E444" t="str">
        <f t="shared" ca="1" si="6"/>
        <v>"2084251255" : "bộ lắp ráp (động cơ)",</v>
      </c>
    </row>
    <row r="445" spans="1:5" ht="15.75" customHeight="1">
      <c r="A445" s="6">
        <v>2084251256</v>
      </c>
      <c r="B445" s="7" t="s">
        <v>782</v>
      </c>
      <c r="C445" s="7" t="s">
        <v>796</v>
      </c>
      <c r="D445" s="3" t="str">
        <f ca="1">IFERROR(__xludf.DUMMYFUNCTION("GOOGLETRANSLATE(B445,""ja"",""vi"")"),"bộ lắp ráp (điện)")</f>
        <v>bộ lắp ráp (điện)</v>
      </c>
      <c r="E445" t="str">
        <f t="shared" ca="1" si="6"/>
        <v>"2084251256" : "bộ lắp ráp (điện)",</v>
      </c>
    </row>
    <row r="446" spans="1:5" ht="15.75" customHeight="1">
      <c r="A446" s="6">
        <v>2084251257</v>
      </c>
      <c r="B446" s="7" t="s">
        <v>784</v>
      </c>
      <c r="C446" s="7" t="s">
        <v>797</v>
      </c>
      <c r="D446" s="3" t="str">
        <f ca="1">IFERROR(__xludf.DUMMYFUNCTION("GOOGLETRANSLATE(B446,""ja"",""vi"")"),"bộ phận")</f>
        <v>bộ phận</v>
      </c>
      <c r="E446" t="str">
        <f t="shared" ca="1" si="6"/>
        <v>"2084251257" : "bộ phận",</v>
      </c>
    </row>
    <row r="447" spans="1:5" ht="15.75" customHeight="1">
      <c r="A447" s="6">
        <v>2084251258</v>
      </c>
      <c r="B447" s="7" t="s">
        <v>105</v>
      </c>
      <c r="C447" s="7" t="s">
        <v>798</v>
      </c>
      <c r="D447" s="3" t="str">
        <f ca="1">IFERROR(__xludf.DUMMYFUNCTION("GOOGLETRANSLATE(B447,""ja"",""vi"")"),"nếu không thì")</f>
        <v>nếu không thì</v>
      </c>
      <c r="E447" t="str">
        <f t="shared" ca="1" si="6"/>
        <v>"2084251258" : "nếu không thì",</v>
      </c>
    </row>
    <row r="448" spans="1:5" ht="15.75" customHeight="1">
      <c r="A448" s="6">
        <v>2084316146</v>
      </c>
      <c r="B448" s="7" t="s">
        <v>772</v>
      </c>
      <c r="C448" s="7" t="s">
        <v>773</v>
      </c>
      <c r="D448" s="3" t="str">
        <f ca="1">IFERROR(__xludf.DUMMYFUNCTION("GOOGLETRANSLATE(B448,""ja"",""vi"")"),"Drone cơ thể")</f>
        <v>Drone cơ thể</v>
      </c>
      <c r="E448" t="str">
        <f t="shared" ca="1" si="6"/>
        <v>"2084316146" : "Drone cơ thể",</v>
      </c>
    </row>
    <row r="449" spans="1:5" ht="15.75" customHeight="1">
      <c r="A449" s="6">
        <v>2084316147</v>
      </c>
      <c r="B449" s="7" t="s">
        <v>774</v>
      </c>
      <c r="C449" s="7" t="s">
        <v>775</v>
      </c>
      <c r="D449" s="3" t="str">
        <f ca="1">IFERROR(__xludf.DUMMYFUNCTION("GOOGLETRANSLATE(B449,""ja"",""vi"")"),"Phụ tùng, phụ kiện")</f>
        <v>Phụ tùng, phụ kiện</v>
      </c>
      <c r="E449" t="str">
        <f t="shared" ca="1" si="6"/>
        <v>"2084316147" : "Phụ tùng, phụ kiện",</v>
      </c>
    </row>
    <row r="450" spans="1:5" ht="15.75" customHeight="1">
      <c r="A450" s="6">
        <v>2084251263</v>
      </c>
      <c r="B450" s="7" t="s">
        <v>799</v>
      </c>
      <c r="C450" s="7" t="s">
        <v>800</v>
      </c>
      <c r="D450" s="3" t="str">
        <f ca="1">IFERROR(__xludf.DUMMYFUNCTION("GOOGLETRANSLATE(B450,""ja"",""vi"")"),"Đài phát thanh bộ")</f>
        <v>Đài phát thanh bộ</v>
      </c>
      <c r="E450" t="str">
        <f t="shared" ref="E450:E513" ca="1" si="7">CONCATENATE(CHAR(34)&amp;"",A450,""&amp;CHAR(34)," : ", CHAR(34)&amp;"",D450,""&amp;CHAR(34),",")</f>
        <v>"2084251263" : "Đài phát thanh bộ",</v>
      </c>
    </row>
    <row r="451" spans="1:5" ht="15.75" customHeight="1">
      <c r="A451" s="6">
        <v>2084251266</v>
      </c>
      <c r="B451" s="7" t="s">
        <v>801</v>
      </c>
      <c r="C451" s="7" t="s">
        <v>802</v>
      </c>
      <c r="D451" s="3" t="str">
        <f ca="1">IFERROR(__xludf.DUMMYFUNCTION("GOOGLETRANSLATE(B451,""ja"",""vi"")"),"servo")</f>
        <v>servo</v>
      </c>
      <c r="E451" t="str">
        <f t="shared" ca="1" si="7"/>
        <v>"2084251266" : "servo",</v>
      </c>
    </row>
    <row r="452" spans="1:5" ht="15.75" customHeight="1">
      <c r="A452" s="6">
        <v>2084251265</v>
      </c>
      <c r="B452" s="7" t="s">
        <v>803</v>
      </c>
      <c r="C452" s="7" t="s">
        <v>804</v>
      </c>
      <c r="D452" s="3" t="str">
        <f ca="1">IFERROR(__xludf.DUMMYFUNCTION("GOOGLETRANSLATE(B452,""ja"",""vi"")"),"Một máy thu")</f>
        <v>Một máy thu</v>
      </c>
      <c r="E452" t="str">
        <f t="shared" ca="1" si="7"/>
        <v>"2084251265" : "Một máy thu",</v>
      </c>
    </row>
    <row r="453" spans="1:5" ht="15.75" customHeight="1">
      <c r="A453" s="6">
        <v>2084251264</v>
      </c>
      <c r="B453" s="7" t="s">
        <v>805</v>
      </c>
      <c r="C453" s="7" t="s">
        <v>806</v>
      </c>
      <c r="D453" s="3" t="str">
        <f ca="1">IFERROR(__xludf.DUMMYFUNCTION("GOOGLETRANSLATE(B453,""ja"",""vi"")"),"transmitter")</f>
        <v>transmitter</v>
      </c>
      <c r="E453" t="str">
        <f t="shared" ca="1" si="7"/>
        <v>"2084251264" : "transmitter",</v>
      </c>
    </row>
    <row r="454" spans="1:5" ht="15.75" customHeight="1">
      <c r="A454" s="6">
        <v>2084251267</v>
      </c>
      <c r="B454" s="7" t="s">
        <v>105</v>
      </c>
      <c r="C454" s="7" t="s">
        <v>807</v>
      </c>
      <c r="D454" s="3" t="str">
        <f ca="1">IFERROR(__xludf.DUMMYFUNCTION("GOOGLETRANSLATE(B454,""ja"",""vi"")"),"nếu không thì")</f>
        <v>nếu không thì</v>
      </c>
      <c r="E454" t="str">
        <f t="shared" ca="1" si="7"/>
        <v>"2084251267" : "nếu không thì",</v>
      </c>
    </row>
    <row r="455" spans="1:5" ht="15.75" customHeight="1">
      <c r="A455" s="6">
        <v>2084063790</v>
      </c>
      <c r="B455" s="7" t="s">
        <v>766</v>
      </c>
      <c r="C455" s="7" t="s">
        <v>767</v>
      </c>
      <c r="D455" s="3" t="str">
        <f ca="1">IFERROR(__xludf.DUMMYFUNCTION("GOOGLETRANSLATE(B455,""ja"",""vi"")"),"dụng cụ")</f>
        <v>dụng cụ</v>
      </c>
      <c r="E455" t="str">
        <f t="shared" ca="1" si="7"/>
        <v>"2084063790" : "dụng cụ",</v>
      </c>
    </row>
    <row r="456" spans="1:5" ht="15.75" customHeight="1">
      <c r="A456" s="6">
        <v>2084063791</v>
      </c>
      <c r="B456" s="7" t="s">
        <v>768</v>
      </c>
      <c r="C456" s="7" t="s">
        <v>769</v>
      </c>
      <c r="D456" s="3" t="str">
        <f ca="1">IFERROR(__xludf.DUMMYFUNCTION("GOOGLETRANSLATE(B456,""ja"",""vi"")"),"vẽ cung cấp")</f>
        <v>vẽ cung cấp</v>
      </c>
      <c r="E456" t="str">
        <f t="shared" ca="1" si="7"/>
        <v>"2084063791" : "vẽ cung cấp",</v>
      </c>
    </row>
    <row r="457" spans="1:5" ht="15.75" customHeight="1">
      <c r="A457" s="6">
        <v>2084063795</v>
      </c>
      <c r="B457" s="7" t="s">
        <v>770</v>
      </c>
      <c r="C457" s="7" t="s">
        <v>771</v>
      </c>
      <c r="D457" s="3" t="str">
        <f ca="1">IFERROR(__xludf.DUMMYFUNCTION("GOOGLETRANSLATE(B457,""ja"",""vi"")"),"nguồn cung cấp chất kết dính")</f>
        <v>nguồn cung cấp chất kết dính</v>
      </c>
      <c r="E457" t="str">
        <f t="shared" ca="1" si="7"/>
        <v>"2084063795" : "nguồn cung cấp chất kết dính",</v>
      </c>
    </row>
    <row r="458" spans="1:5" ht="15.75" customHeight="1">
      <c r="A458" s="6">
        <v>2084261089</v>
      </c>
      <c r="B458" s="7" t="s">
        <v>808</v>
      </c>
      <c r="C458" s="7" t="s">
        <v>809</v>
      </c>
      <c r="D458" s="3" t="str">
        <f ca="1">IFERROR(__xludf.DUMMYFUNCTION("GOOGLETRANSLATE(B458,""ja"",""vi"")"),"hpi · đua")</f>
        <v>hpi · đua</v>
      </c>
      <c r="E458" t="str">
        <f t="shared" ca="1" si="7"/>
        <v>"2084261089" : "hpi · đua",</v>
      </c>
    </row>
    <row r="459" spans="1:5" ht="15.75" customHeight="1">
      <c r="A459" s="6">
        <v>2084260115</v>
      </c>
      <c r="B459" s="7" t="s">
        <v>810</v>
      </c>
      <c r="C459" s="7" t="s">
        <v>811</v>
      </c>
      <c r="D459" s="3" t="str">
        <f ca="1">IFERROR(__xludf.DUMMYFUNCTION("GOOGLETRANSLATE(B459,""ja"",""vi"")"),"Ateru")</f>
        <v>Ateru</v>
      </c>
      <c r="E459" t="str">
        <f t="shared" ca="1" si="7"/>
        <v>"2084260115" : "Ateru",</v>
      </c>
    </row>
    <row r="460" spans="1:5" ht="15.75" customHeight="1">
      <c r="A460" s="6">
        <v>2084260116</v>
      </c>
      <c r="B460" s="7" t="s">
        <v>812</v>
      </c>
      <c r="C460" s="7" t="s">
        <v>813</v>
      </c>
      <c r="D460" s="3" t="str">
        <f ca="1">IFERROR(__xludf.DUMMYFUNCTION("GOOGLETRANSLATE(B460,""ja"",""vi"")"),"Aoshima")</f>
        <v>Aoshima</v>
      </c>
      <c r="E460" t="str">
        <f t="shared" ca="1" si="7"/>
        <v>"2084260116" : "Aoshima",</v>
      </c>
    </row>
    <row r="461" spans="1:5" ht="15.75" customHeight="1">
      <c r="A461" s="6">
        <v>2084260117</v>
      </c>
      <c r="B461" s="7" t="s">
        <v>814</v>
      </c>
      <c r="C461" s="7" t="s">
        <v>815</v>
      </c>
      <c r="D461" s="3" t="str">
        <f ca="1">IFERROR(__xludf.DUMMYFUNCTION("GOOGLETRANSLATE(B461,""ja"",""vi"")"),"Ikuso")</f>
        <v>Ikuso</v>
      </c>
      <c r="E461" t="str">
        <f t="shared" ca="1" si="7"/>
        <v>"2084260117" : "Ikuso",</v>
      </c>
    </row>
    <row r="462" spans="1:5" ht="15.75" customHeight="1">
      <c r="A462" s="6">
        <v>2084260120</v>
      </c>
      <c r="B462" s="7" t="s">
        <v>816</v>
      </c>
      <c r="C462" s="7" t="s">
        <v>817</v>
      </c>
      <c r="D462" s="3" t="str">
        <f ca="1">IFERROR(__xludf.DUMMYFUNCTION("GOOGLETRANSLATE(B462,""ja"",""vi"")"),"Weri")</f>
        <v>Weri</v>
      </c>
      <c r="E462" t="str">
        <f t="shared" ca="1" si="7"/>
        <v>"2084260120" : "Weri",</v>
      </c>
    </row>
    <row r="463" spans="1:5" ht="15.75" customHeight="1">
      <c r="A463" s="6">
        <v>2084260121</v>
      </c>
      <c r="B463" s="7" t="s">
        <v>818</v>
      </c>
      <c r="C463" s="7" t="s">
        <v>819</v>
      </c>
      <c r="D463" s="3" t="str">
        <f ca="1">IFERROR(__xludf.DUMMYFUNCTION("GOOGLETRANSLATE(B463,""ja"",""vi"")"),"Eguzoto")</f>
        <v>Eguzoto</v>
      </c>
      <c r="E463" t="str">
        <f t="shared" ca="1" si="7"/>
        <v>"2084260121" : "Eguzoto",</v>
      </c>
    </row>
    <row r="464" spans="1:5" ht="15.75" customHeight="1">
      <c r="A464" s="6">
        <v>2084260122</v>
      </c>
      <c r="B464" s="7" t="s">
        <v>820</v>
      </c>
      <c r="C464" s="7" t="s">
        <v>821</v>
      </c>
      <c r="D464" s="3" t="str">
        <f ca="1">IFERROR(__xludf.DUMMYFUNCTION("GOOGLETRANSLATE(B464,""ja"",""vi"")"),"Ebro")</f>
        <v>Ebro</v>
      </c>
      <c r="E464" t="str">
        <f t="shared" ca="1" si="7"/>
        <v>"2084260122" : "Ebro",</v>
      </c>
    </row>
    <row r="465" spans="1:5" ht="15.75" customHeight="1">
      <c r="A465" s="6">
        <v>2084260126</v>
      </c>
      <c r="B465" s="7" t="s">
        <v>822</v>
      </c>
      <c r="C465" s="7" t="s">
        <v>823</v>
      </c>
      <c r="D465" s="3" t="str">
        <f ca="1">IFERROR(__xludf.DUMMYFUNCTION("GOOGLETRANSLATE(B465,""ja"",""vi"")"),"MTEC")</f>
        <v>MTEC</v>
      </c>
      <c r="E465" t="str">
        <f t="shared" ca="1" si="7"/>
        <v>"2084260126" : "MTEC",</v>
      </c>
    </row>
    <row r="466" spans="1:5" ht="15.75" customHeight="1">
      <c r="A466" s="6">
        <v>2084260127</v>
      </c>
      <c r="B466" s="7" t="s">
        <v>824</v>
      </c>
      <c r="C466" s="7" t="s">
        <v>825</v>
      </c>
      <c r="D466" s="3" t="str">
        <f ca="1">IFERROR(__xludf.DUMMYFUNCTION("GOOGLETRANSLATE(B466,""ja"",""vi"")"),"Auto Art")</f>
        <v>Auto Art</v>
      </c>
      <c r="E466" t="str">
        <f t="shared" ca="1" si="7"/>
        <v>"2084260127" : "Auto Art",</v>
      </c>
    </row>
    <row r="467" spans="1:5" ht="15.75" customHeight="1">
      <c r="A467" s="6">
        <v>2084260131</v>
      </c>
      <c r="B467" s="7" t="s">
        <v>826</v>
      </c>
      <c r="C467" s="7" t="s">
        <v>827</v>
      </c>
      <c r="D467" s="3" t="str">
        <f ca="1">IFERROR(__xludf.DUMMYFUNCTION("GOOGLETRANSLATE(B467,""ja"",""vi"")"),"Corgi")</f>
        <v>Corgi</v>
      </c>
      <c r="E467" t="str">
        <f t="shared" ca="1" si="7"/>
        <v>"2084260131" : "Corgi",</v>
      </c>
    </row>
    <row r="468" spans="1:5" ht="15.75" customHeight="1">
      <c r="A468" s="6">
        <v>2084260132</v>
      </c>
      <c r="B468" s="7" t="s">
        <v>828</v>
      </c>
      <c r="C468" s="7" t="s">
        <v>829</v>
      </c>
      <c r="D468" s="3" t="str">
        <f ca="1">IFERROR(__xludf.DUMMYFUNCTION("GOOGLETRANSLATE(B468,""ja"",""vi"")"),"Konami")</f>
        <v>Konami</v>
      </c>
      <c r="E468" t="str">
        <f t="shared" ca="1" si="7"/>
        <v>"2084260132" : "Konami",</v>
      </c>
    </row>
    <row r="469" spans="1:5" ht="15.75" customHeight="1">
      <c r="A469" s="6">
        <v>2084260133</v>
      </c>
      <c r="B469" s="7" t="s">
        <v>830</v>
      </c>
      <c r="C469" s="7" t="s">
        <v>831</v>
      </c>
      <c r="D469" s="3" t="str">
        <f ca="1">IFERROR(__xludf.DUMMYFUNCTION("GOOGLETRANSLATE(B469,""ja"",""vi"")"),"Kyosho")</f>
        <v>Kyosho</v>
      </c>
      <c r="E469" t="str">
        <f t="shared" ca="1" si="7"/>
        <v>"2084260133" : "Kyosho",</v>
      </c>
    </row>
    <row r="470" spans="1:5" ht="15.75" customHeight="1">
      <c r="A470" s="6">
        <v>2084260137</v>
      </c>
      <c r="B470" s="7" t="s">
        <v>832</v>
      </c>
      <c r="C470" s="7" t="s">
        <v>833</v>
      </c>
      <c r="D470" s="3" t="str">
        <f ca="1">IFERROR(__xludf.DUMMYFUNCTION("GOOGLETRANSLATE(B470,""ja"",""vi"")"),"Jada Đồ chơi")</f>
        <v>Jada Đồ chơi</v>
      </c>
      <c r="E470" t="str">
        <f t="shared" ca="1" si="7"/>
        <v>"2084260137" : "Jada Đồ chơi",</v>
      </c>
    </row>
    <row r="471" spans="1:5" ht="15.75" customHeight="1">
      <c r="A471" s="6">
        <v>2084260138</v>
      </c>
      <c r="B471" s="7" t="s">
        <v>834</v>
      </c>
      <c r="C471" s="7" t="s">
        <v>835</v>
      </c>
      <c r="D471" s="3" t="str">
        <f ca="1">IFERROR(__xludf.DUMMYFUNCTION("GOOGLETRANSLATE(B471,""ja"",""vi"")"),"Sunstar")</f>
        <v>Sunstar</v>
      </c>
      <c r="E471" t="str">
        <f t="shared" ca="1" si="7"/>
        <v>"2084260138" : "Sunstar",</v>
      </c>
    </row>
    <row r="472" spans="1:5" ht="15.75" customHeight="1">
      <c r="A472" s="6">
        <v>2084260139</v>
      </c>
      <c r="B472" s="7" t="s">
        <v>836</v>
      </c>
      <c r="C472" s="7" t="s">
        <v>837</v>
      </c>
      <c r="D472" s="3" t="str">
        <f ca="1">IFERROR(__xludf.DUMMYFUNCTION("GOOGLETRANSLATE(B472,""ja"",""vi"")"),"Shuko")</f>
        <v>Shuko</v>
      </c>
      <c r="E472" t="str">
        <f t="shared" ca="1" si="7"/>
        <v>"2084260139" : "Shuko",</v>
      </c>
    </row>
    <row r="473" spans="1:5" ht="15.75" customHeight="1">
      <c r="A473" s="6">
        <v>2084260140</v>
      </c>
      <c r="B473" s="7" t="s">
        <v>838</v>
      </c>
      <c r="C473" s="7" t="s">
        <v>839</v>
      </c>
      <c r="D473" s="3" t="str">
        <f ca="1">IFERROR(__xludf.DUMMYFUNCTION("GOOGLETRANSLATE(B473,""ja"",""vi"")"),"Johnny sét")</f>
        <v>Johnny sét</v>
      </c>
      <c r="E473" t="str">
        <f t="shared" ca="1" si="7"/>
        <v>"2084260140" : "Johnny sét",</v>
      </c>
    </row>
    <row r="474" spans="1:5" ht="15.75" customHeight="1">
      <c r="A474" s="6">
        <v>2084260141</v>
      </c>
      <c r="B474" s="7" t="s">
        <v>840</v>
      </c>
      <c r="C474" s="7" t="s">
        <v>841</v>
      </c>
      <c r="D474" s="3" t="str">
        <f ca="1">IFERROR(__xludf.DUMMYFUNCTION("GOOGLETRANSLATE(B474,""ja"",""vi"")"),"mô hình Spark")</f>
        <v>mô hình Spark</v>
      </c>
      <c r="E474" t="str">
        <f t="shared" ca="1" si="7"/>
        <v>"2084260141" : "mô hình Spark",</v>
      </c>
    </row>
    <row r="475" spans="1:5" ht="15.75" customHeight="1">
      <c r="A475" s="6">
        <v>2084260144</v>
      </c>
      <c r="B475" s="7" t="s">
        <v>842</v>
      </c>
      <c r="C475" s="7" t="s">
        <v>843</v>
      </c>
      <c r="D475" s="3" t="str">
        <f ca="1">IFERROR(__xludf.DUMMYFUNCTION("GOOGLETRANSLATE(B475,""ja"",""vi"")"),"Sorido")</f>
        <v>Sorido</v>
      </c>
      <c r="E475" t="str">
        <f t="shared" ca="1" si="7"/>
        <v>"2084260144" : "Sorido",</v>
      </c>
    </row>
    <row r="476" spans="1:5" ht="15.75" customHeight="1">
      <c r="A476" s="6">
        <v>2084260145</v>
      </c>
      <c r="B476" s="7" t="s">
        <v>844</v>
      </c>
      <c r="C476" s="7" t="s">
        <v>845</v>
      </c>
      <c r="D476" s="3" t="str">
        <f ca="1">IFERROR(__xludf.DUMMYFUNCTION("GOOGLETRANSLATE(B476,""ja"",""vi"")"),"kim cương thú cưng")</f>
        <v>kim cương thú cưng</v>
      </c>
      <c r="E476" t="str">
        <f t="shared" ca="1" si="7"/>
        <v>"2084260145" : "kim cương thú cưng",</v>
      </c>
    </row>
    <row r="477" spans="1:5" ht="15.75" customHeight="1">
      <c r="A477" s="6">
        <v>2084260146</v>
      </c>
      <c r="B477" s="7" t="s">
        <v>846</v>
      </c>
      <c r="C477" s="7" t="s">
        <v>847</v>
      </c>
      <c r="D477" s="3" t="str">
        <f ca="1">IFERROR(__xludf.DUMMYFUNCTION("GOOGLETRANSLATE(B477,""ja"",""vi"")"),"Choro Q")</f>
        <v>Choro Q</v>
      </c>
      <c r="E477" t="str">
        <f t="shared" ca="1" si="7"/>
        <v>"2084260146" : "Choro Q",</v>
      </c>
    </row>
    <row r="478" spans="1:5" ht="15.75" customHeight="1">
      <c r="A478" s="6">
        <v>2084260152</v>
      </c>
      <c r="B478" s="7" t="s">
        <v>848</v>
      </c>
      <c r="C478" s="7" t="s">
        <v>849</v>
      </c>
      <c r="D478" s="3" t="str">
        <f ca="1">IFERROR(__xludf.DUMMYFUNCTION("GOOGLETRANSLATE(B478,""ja"",""vi"")"),"duyên dáng")</f>
        <v>duyên dáng</v>
      </c>
      <c r="E478" t="str">
        <f t="shared" ca="1" si="7"/>
        <v>"2084260152" : "duyên dáng",</v>
      </c>
    </row>
    <row r="479" spans="1:5" ht="15.75" customHeight="1">
      <c r="A479" s="6">
        <v>2084260153</v>
      </c>
      <c r="B479" s="7" t="s">
        <v>850</v>
      </c>
      <c r="C479" s="7" t="s">
        <v>851</v>
      </c>
      <c r="D479" s="3" t="str">
        <f ca="1">IFERROR(__xludf.DUMMYFUNCTION("GOOGLETRANSLATE(B479,""ja"",""vi"")"),"Tomica")</f>
        <v>Tomica</v>
      </c>
      <c r="E479" t="str">
        <f t="shared" ca="1" si="7"/>
        <v>"2084260153" : "Tomica",</v>
      </c>
    </row>
    <row r="480" spans="1:5" ht="15.75" customHeight="1">
      <c r="A480" s="6">
        <v>2084260160</v>
      </c>
      <c r="B480" s="7" t="s">
        <v>852</v>
      </c>
      <c r="C480" s="7" t="s">
        <v>853</v>
      </c>
      <c r="D480" s="3" t="str">
        <f ca="1">IFERROR(__xludf.DUMMYFUNCTION("GOOGLETRANSLATE(B480,""ja"",""vi"")"),"Torofuyu")</f>
        <v>Torofuyu</v>
      </c>
      <c r="E480" t="str">
        <f t="shared" ca="1" si="7"/>
        <v>"2084260160" : "Torofuyu",</v>
      </c>
    </row>
    <row r="481" spans="1:5" ht="15.75" customHeight="1">
      <c r="A481" s="6">
        <v>2084260161</v>
      </c>
      <c r="B481" s="7" t="s">
        <v>854</v>
      </c>
      <c r="C481" s="7" t="s">
        <v>855</v>
      </c>
      <c r="D481" s="3" t="str">
        <f ca="1">IFERROR(__xludf.DUMMYFUNCTION("GOOGLETRANSLATE(B481,""ja"",""vi"")"),"mô hình Tamiya")</f>
        <v>mô hình Tamiya</v>
      </c>
      <c r="E481" t="str">
        <f t="shared" ca="1" si="7"/>
        <v>"2084260161" : "mô hình Tamiya",</v>
      </c>
    </row>
    <row r="482" spans="1:5" ht="15.75" customHeight="1">
      <c r="A482" s="6">
        <v>2084260162</v>
      </c>
      <c r="B482" s="7" t="s">
        <v>856</v>
      </c>
      <c r="C482" s="7" t="s">
        <v>857</v>
      </c>
      <c r="D482" s="3" t="str">
        <f ca="1">IFERROR(__xludf.DUMMYFUNCTION("GOOGLETRANSLATE(B482,""ja"",""vi"")"),"Norev")</f>
        <v>Norev</v>
      </c>
      <c r="E482" t="str">
        <f t="shared" ca="1" si="7"/>
        <v>"2084260162" : "Norev",</v>
      </c>
    </row>
    <row r="483" spans="1:5" ht="15.75" customHeight="1">
      <c r="A483" s="6">
        <v>2084260163</v>
      </c>
      <c r="B483" s="7" t="s">
        <v>858</v>
      </c>
      <c r="C483" s="7" t="s">
        <v>859</v>
      </c>
      <c r="D483" s="3" t="str">
        <f ca="1">IFERROR(__xludf.DUMMYFUNCTION("GOOGLETRANSLATE(B483,""ja"",""vi"")"),"BBR")</f>
        <v>BBR</v>
      </c>
      <c r="E483" t="str">
        <f t="shared" ca="1" si="7"/>
        <v>"2084260163" : "BBR",</v>
      </c>
    </row>
    <row r="484" spans="1:5" ht="15.75" customHeight="1">
      <c r="A484" s="6">
        <v>2084260164</v>
      </c>
      <c r="B484" s="7" t="s">
        <v>860</v>
      </c>
      <c r="C484" s="7" t="s">
        <v>861</v>
      </c>
      <c r="D484" s="3" t="str">
        <f ca="1">IFERROR(__xludf.DUMMYFUNCTION("GOOGLETRANSLATE(B484,""ja"",""vi"")"),"Bitesu")</f>
        <v>Bitesu</v>
      </c>
      <c r="E484" t="str">
        <f t="shared" ca="1" si="7"/>
        <v>"2084260164" : "Bitesu",</v>
      </c>
    </row>
    <row r="485" spans="1:5" ht="15.75" customHeight="1">
      <c r="A485" s="6">
        <v>2084260165</v>
      </c>
      <c r="B485" s="7" t="s">
        <v>862</v>
      </c>
      <c r="C485" s="7" t="s">
        <v>863</v>
      </c>
      <c r="D485" s="3" t="str">
        <f ca="1">IFERROR(__xludf.DUMMYFUNCTION("GOOGLETRANSLATE(B485,""ja"",""vi"")"),"Franklin Mint")</f>
        <v>Franklin Mint</v>
      </c>
      <c r="E485" t="str">
        <f t="shared" ca="1" si="7"/>
        <v>"2084260165" : "Franklin Mint",</v>
      </c>
    </row>
    <row r="486" spans="1:5" ht="15.75" customHeight="1">
      <c r="A486" s="6">
        <v>2084260166</v>
      </c>
      <c r="B486" s="7" t="s">
        <v>864</v>
      </c>
      <c r="C486" s="7" t="s">
        <v>865</v>
      </c>
      <c r="D486" s="3" t="str">
        <f ca="1">IFERROR(__xludf.DUMMYFUNCTION("GOOGLETRANSLATE(B486,""ja"",""vi"")"),"Vicky")</f>
        <v>Vicky</v>
      </c>
      <c r="E486" t="str">
        <f t="shared" ca="1" si="7"/>
        <v>"2084260166" : "Vicky",</v>
      </c>
    </row>
    <row r="487" spans="1:5" ht="15.75" customHeight="1">
      <c r="A487" s="6">
        <v>2084260167</v>
      </c>
      <c r="B487" s="7" t="s">
        <v>866</v>
      </c>
      <c r="C487" s="7" t="s">
        <v>867</v>
      </c>
      <c r="D487" s="3" t="str">
        <f ca="1">IFERROR(__xludf.DUMMYFUNCTION("GOOGLETRANSLATE(B487,""ja"",""vi"")"),"Blum")</f>
        <v>Blum</v>
      </c>
      <c r="E487" t="str">
        <f t="shared" ca="1" si="7"/>
        <v>"2084260167" : "Blum",</v>
      </c>
    </row>
    <row r="488" spans="1:5" ht="15.75" customHeight="1">
      <c r="A488" s="6">
        <v>2084260168</v>
      </c>
      <c r="B488" s="7" t="s">
        <v>868</v>
      </c>
      <c r="C488" s="7" t="s">
        <v>869</v>
      </c>
      <c r="D488" s="3" t="str">
        <f ca="1">IFERROR(__xludf.DUMMYFUNCTION("GOOGLETRANSLATE(B488,""ja"",""vi"")"),"người giúp đỡ")</f>
        <v>người giúp đỡ</v>
      </c>
      <c r="E488" t="str">
        <f t="shared" ca="1" si="7"/>
        <v>"2084260168" : "người giúp đỡ",</v>
      </c>
    </row>
    <row r="489" spans="1:5" ht="15.75" customHeight="1">
      <c r="A489" s="6">
        <v>2084260169</v>
      </c>
      <c r="B489" s="7" t="s">
        <v>870</v>
      </c>
      <c r="C489" s="7" t="s">
        <v>871</v>
      </c>
      <c r="D489" s="3" t="str">
        <f ca="1">IFERROR(__xludf.DUMMYFUNCTION("GOOGLETRANSLATE(B489,""ja"",""vi"")"),"mô hình tốt nhất")</f>
        <v>mô hình tốt nhất</v>
      </c>
      <c r="E489" t="str">
        <f t="shared" ca="1" si="7"/>
        <v>"2084260169" : "mô hình tốt nhất",</v>
      </c>
    </row>
    <row r="490" spans="1:5" ht="15.75" customHeight="1">
      <c r="A490" s="6">
        <v>2084260170</v>
      </c>
      <c r="B490" s="7" t="s">
        <v>872</v>
      </c>
      <c r="C490" s="7" t="s">
        <v>873</v>
      </c>
      <c r="D490" s="3" t="str">
        <f ca="1">IFERROR(__xludf.DUMMYFUNCTION("GOOGLETRANSLATE(B490,""ja"",""vi"")"),"Hot Wheels")</f>
        <v>Hot Wheels</v>
      </c>
      <c r="E490" t="str">
        <f t="shared" ca="1" si="7"/>
        <v>"2084260170" : "Hot Wheels",</v>
      </c>
    </row>
    <row r="491" spans="1:5" ht="15.75" customHeight="1">
      <c r="A491" s="6">
        <v>2084260174</v>
      </c>
      <c r="B491" s="7" t="s">
        <v>874</v>
      </c>
      <c r="C491" s="7" t="s">
        <v>875</v>
      </c>
      <c r="D491" s="3" t="str">
        <f ca="1">IFERROR(__xludf.DUMMYFUNCTION("GOOGLETRANSLATE(B491,""ja"",""vi"")"),"Maisuto")</f>
        <v>Maisuto</v>
      </c>
      <c r="E491" t="str">
        <f t="shared" ca="1" si="7"/>
        <v>"2084260174" : "Maisuto",</v>
      </c>
    </row>
    <row r="492" spans="1:5" ht="15.75" customHeight="1">
      <c r="A492" s="6">
        <v>2084260175</v>
      </c>
      <c r="B492" s="7" t="s">
        <v>876</v>
      </c>
      <c r="C492" s="7" t="s">
        <v>877</v>
      </c>
      <c r="D492" s="3" t="str">
        <f ca="1">IFERROR(__xludf.DUMMYFUNCTION("GOOGLETRANSLATE(B492,""ja"",""vi"")"),"Majoretto")</f>
        <v>Majoretto</v>
      </c>
      <c r="E492" t="str">
        <f t="shared" ca="1" si="7"/>
        <v>"2084260175" : "Majoretto",</v>
      </c>
    </row>
    <row r="493" spans="1:5" ht="15.75" customHeight="1">
      <c r="A493" s="6">
        <v>2084260176</v>
      </c>
      <c r="B493" s="7" t="s">
        <v>878</v>
      </c>
      <c r="C493" s="7" t="s">
        <v>879</v>
      </c>
      <c r="D493" s="3" t="str">
        <f ca="1">IFERROR(__xludf.DUMMYFUNCTION("GOOGLETRANSLATE(B493,""ja"",""vi"")"),"Matchbox")</f>
        <v>Matchbox</v>
      </c>
      <c r="E493" t="str">
        <f t="shared" ca="1" si="7"/>
        <v>"2084260176" : "Matchbox",</v>
      </c>
    </row>
    <row r="494" spans="1:5" ht="15.75" customHeight="1">
      <c r="A494" s="6">
        <v>2084260177</v>
      </c>
      <c r="B494" s="7" t="s">
        <v>880</v>
      </c>
      <c r="C494" s="7" t="s">
        <v>881</v>
      </c>
      <c r="D494" s="3" t="str">
        <f ca="1">IFERROR(__xludf.DUMMYFUNCTION("GOOGLETRANSLATE(B494,""ja"",""vi"")"),"Minichamps")</f>
        <v>Minichamps</v>
      </c>
      <c r="E494" t="str">
        <f t="shared" ca="1" si="7"/>
        <v>"2084260177" : "Minichamps",</v>
      </c>
    </row>
    <row r="495" spans="1:5" ht="15.75" customHeight="1">
      <c r="A495" s="6">
        <v>2084260181</v>
      </c>
      <c r="B495" s="7" t="s">
        <v>882</v>
      </c>
      <c r="C495" s="7" t="s">
        <v>883</v>
      </c>
      <c r="D495" s="3" t="str">
        <f ca="1">IFERROR(__xludf.DUMMYFUNCTION("GOOGLETRANSLATE(B495,""ja"",""vi"")"),"-X thực")</f>
        <v>-X thực</v>
      </c>
      <c r="E495" t="str">
        <f t="shared" ca="1" si="7"/>
        <v>"2084260181" : "-X thực",</v>
      </c>
    </row>
    <row r="496" spans="1:5" ht="15.75" customHeight="1">
      <c r="A496" s="6">
        <v>2084260182</v>
      </c>
      <c r="B496" s="7" t="s">
        <v>884</v>
      </c>
      <c r="C496" s="7" t="s">
        <v>885</v>
      </c>
      <c r="D496" s="3" t="str">
        <f ca="1">IFERROR(__xludf.DUMMYFUNCTION("GOOGLETRANSLATE(B496,""ja"",""vi"")"),"đua vô địch")</f>
        <v>đua vô địch</v>
      </c>
      <c r="E496" t="str">
        <f t="shared" ca="1" si="7"/>
        <v>"2084260182" : "đua vô địch",</v>
      </c>
    </row>
    <row r="497" spans="1:5" ht="15.75" customHeight="1">
      <c r="A497" s="6">
        <v>2084260183</v>
      </c>
      <c r="B497" s="7" t="s">
        <v>886</v>
      </c>
      <c r="C497" s="7" t="s">
        <v>887</v>
      </c>
      <c r="D497" s="3" t="str">
        <f ca="1">IFERROR(__xludf.DUMMYFUNCTION("GOOGLETRANSLATE(B497,""ja"",""vi"")"),"trình độ")</f>
        <v>trình độ</v>
      </c>
      <c r="E497" t="str">
        <f t="shared" ca="1" si="7"/>
        <v>"2084260183" : "trình độ",</v>
      </c>
    </row>
    <row r="498" spans="1:5" ht="15.75" customHeight="1">
      <c r="A498" s="6">
        <v>2084260173</v>
      </c>
      <c r="B498" s="7" t="s">
        <v>888</v>
      </c>
      <c r="C498" s="7" t="s">
        <v>889</v>
      </c>
      <c r="D498" s="3" t="str">
        <f ca="1">IFERROR(__xludf.DUMMYFUNCTION("GOOGLETRANSLATE(B498,""ja"",""vi"")"),"Hon'weru")</f>
        <v>Hon'weru</v>
      </c>
      <c r="E498" t="str">
        <f t="shared" ca="1" si="7"/>
        <v>"2084260173" : "Hon'weru",</v>
      </c>
    </row>
    <row r="499" spans="1:5" ht="15.75" customHeight="1">
      <c r="A499" s="6">
        <v>2084260184</v>
      </c>
      <c r="B499" s="7" t="s">
        <v>105</v>
      </c>
      <c r="C499" s="7" t="s">
        <v>890</v>
      </c>
      <c r="D499" s="3" t="str">
        <f ca="1">IFERROR(__xludf.DUMMYFUNCTION("GOOGLETRANSLATE(B499,""ja"",""vi"")"),"nếu không thì")</f>
        <v>nếu không thì</v>
      </c>
      <c r="E499" t="str">
        <f t="shared" ca="1" si="7"/>
        <v>"2084260184" : "nếu không thì",</v>
      </c>
    </row>
    <row r="500" spans="1:5" ht="15.75" customHeight="1">
      <c r="A500" s="6">
        <v>2084260187</v>
      </c>
      <c r="B500" s="7" t="s">
        <v>733</v>
      </c>
      <c r="C500" s="7" t="s">
        <v>891</v>
      </c>
      <c r="D500" s="3" t="str">
        <f ca="1">IFERROR(__xludf.DUMMYFUNCTION("GOOGLETRANSLATE(B500,""ja"",""vi"")"),"máy bay chiến đấu")</f>
        <v>máy bay chiến đấu</v>
      </c>
      <c r="E500" t="str">
        <f t="shared" ca="1" si="7"/>
        <v>"2084260187" : "máy bay chiến đấu",</v>
      </c>
    </row>
    <row r="501" spans="1:5" ht="15.75" customHeight="1">
      <c r="A501" s="6">
        <v>2084260188</v>
      </c>
      <c r="B501" s="7" t="s">
        <v>892</v>
      </c>
      <c r="C501" s="7" t="s">
        <v>893</v>
      </c>
      <c r="D501" s="3" t="str">
        <f ca="1">IFERROR(__xludf.DUMMYFUNCTION("GOOGLETRANSLATE(B501,""ja"",""vi"")"),"máy bay riêng")</f>
        <v>máy bay riêng</v>
      </c>
      <c r="E501" t="str">
        <f t="shared" ca="1" si="7"/>
        <v>"2084260188" : "máy bay riêng",</v>
      </c>
    </row>
    <row r="502" spans="1:5" ht="15.75" customHeight="1">
      <c r="A502" s="6">
        <v>2084259583</v>
      </c>
      <c r="B502" s="7" t="s">
        <v>894</v>
      </c>
      <c r="C502" s="7" t="s">
        <v>895</v>
      </c>
      <c r="D502" s="3" t="str">
        <f ca="1">IFERROR(__xludf.DUMMYFUNCTION("GOOGLETRANSLATE(B502,""ja"",""vi"")"),"đầu máy xe lửa")</f>
        <v>đầu máy xe lửa</v>
      </c>
      <c r="E502" t="str">
        <f t="shared" ca="1" si="7"/>
        <v>"2084259583" : "đầu máy xe lửa",</v>
      </c>
    </row>
    <row r="503" spans="1:5" ht="15.75" customHeight="1">
      <c r="A503" s="6">
        <v>2084259581</v>
      </c>
      <c r="B503" s="7" t="s">
        <v>896</v>
      </c>
      <c r="C503" s="7" t="s">
        <v>897</v>
      </c>
      <c r="D503" s="3" t="str">
        <f ca="1">IFERROR(__xludf.DUMMYFUNCTION("GOOGLETRANSLATE(B503,""ja"",""vi"")"),"chuyến tàu chở hàng")</f>
        <v>chuyến tàu chở hàng</v>
      </c>
      <c r="E503" t="str">
        <f t="shared" ca="1" si="7"/>
        <v>"2084259581" : "chuyến tàu chở hàng",</v>
      </c>
    </row>
    <row r="504" spans="1:5" ht="15.75" customHeight="1">
      <c r="A504" s="6">
        <v>2084259584</v>
      </c>
      <c r="B504" s="7" t="s">
        <v>898</v>
      </c>
      <c r="C504" s="7" t="s">
        <v>899</v>
      </c>
      <c r="D504" s="3" t="str">
        <f ca="1">IFERROR(__xludf.DUMMYFUNCTION("GOOGLETRANSLATE(B504,""ja"",""vi"")"),"JR, xe đường sắt")</f>
        <v>JR, xe đường sắt</v>
      </c>
      <c r="E504" t="str">
        <f t="shared" ca="1" si="7"/>
        <v>"2084259584" : "JR, xe đường sắt",</v>
      </c>
    </row>
    <row r="505" spans="1:5" ht="15.75" customHeight="1">
      <c r="A505" s="6">
        <v>2084259582</v>
      </c>
      <c r="B505" s="7" t="s">
        <v>900</v>
      </c>
      <c r="C505" s="7" t="s">
        <v>901</v>
      </c>
      <c r="D505" s="3" t="str">
        <f ca="1">IFERROR(__xludf.DUMMYFUNCTION("GOOGLETRANSLATE(B505,""ja"",""vi"")"),"xe nước ngoài")</f>
        <v>xe nước ngoài</v>
      </c>
      <c r="E505" t="str">
        <f t="shared" ca="1" si="7"/>
        <v>"2084259582" : "xe nước ngoài",</v>
      </c>
    </row>
    <row r="506" spans="1:5" ht="15.75" customHeight="1">
      <c r="A506" s="6">
        <v>2084259585</v>
      </c>
      <c r="B506" s="7" t="s">
        <v>902</v>
      </c>
      <c r="C506" s="7" t="s">
        <v>903</v>
      </c>
      <c r="D506" s="3" t="str">
        <f ca="1">IFERROR(__xludf.DUMMYFUNCTION("GOOGLETRANSLATE(B506,""ja"",""vi"")"),"tàu đường sắt tư nhân")</f>
        <v>tàu đường sắt tư nhân</v>
      </c>
      <c r="E506" t="str">
        <f t="shared" ca="1" si="7"/>
        <v>"2084259585" : "tàu đường sắt tư nhân",</v>
      </c>
    </row>
    <row r="507" spans="1:5" ht="15.75" customHeight="1">
      <c r="A507" s="6">
        <v>2084259586</v>
      </c>
      <c r="B507" s="7" t="s">
        <v>904</v>
      </c>
      <c r="C507" s="7" t="s">
        <v>905</v>
      </c>
      <c r="D507" s="3" t="str">
        <f ca="1">IFERROR(__xludf.DUMMYFUNCTION("GOOGLETRANSLATE(B507,""ja"",""vi"")"),"Một xe điện")</f>
        <v>Một xe điện</v>
      </c>
      <c r="E507" t="str">
        <f t="shared" ca="1" si="7"/>
        <v>"2084259586" : "Một xe điện",</v>
      </c>
    </row>
    <row r="508" spans="1:5" ht="15.75" customHeight="1">
      <c r="A508" s="6">
        <v>2084259622</v>
      </c>
      <c r="B508" s="7" t="s">
        <v>906</v>
      </c>
      <c r="C508" s="7" t="s">
        <v>907</v>
      </c>
      <c r="D508" s="3" t="str">
        <f ca="1">IFERROR(__xludf.DUMMYFUNCTION("GOOGLETRANSLATE(B508,""ja"",""vi"")"),"phụ tùng xe")</f>
        <v>phụ tùng xe</v>
      </c>
      <c r="E508" t="str">
        <f t="shared" ca="1" si="7"/>
        <v>"2084259622" : "phụ tùng xe",</v>
      </c>
    </row>
    <row r="509" spans="1:5" ht="15.75" customHeight="1">
      <c r="A509" s="6">
        <v>2084259587</v>
      </c>
      <c r="B509" s="7" t="s">
        <v>908</v>
      </c>
      <c r="C509" s="7" t="s">
        <v>909</v>
      </c>
      <c r="D509" s="3" t="str">
        <f ca="1">IFERROR(__xludf.DUMMYFUNCTION("GOOGLETRANSLATE(B509,""ja"",""vi"")"),"cấu trúc")</f>
        <v>cấu trúc</v>
      </c>
      <c r="E509" t="str">
        <f t="shared" ca="1" si="7"/>
        <v>"2084259587" : "cấu trúc",</v>
      </c>
    </row>
    <row r="510" spans="1:5" ht="15.75" customHeight="1">
      <c r="A510" s="6">
        <v>2084259588</v>
      </c>
      <c r="B510" s="7" t="s">
        <v>910</v>
      </c>
      <c r="C510" s="7" t="s">
        <v>911</v>
      </c>
      <c r="D510" s="3" t="str">
        <f ca="1">IFERROR(__xludf.DUMMYFUNCTION("GOOGLETRANSLATE(B510,""ja"",""vi"")"),"Power Pack")</f>
        <v>Power Pack</v>
      </c>
      <c r="E510" t="str">
        <f t="shared" ca="1" si="7"/>
        <v>"2084259588" : "Power Pack",</v>
      </c>
    </row>
    <row r="511" spans="1:5" ht="15.75" customHeight="1">
      <c r="A511" s="6">
        <v>2084259589</v>
      </c>
      <c r="B511" s="7" t="s">
        <v>912</v>
      </c>
      <c r="C511" s="7" t="s">
        <v>913</v>
      </c>
      <c r="D511" s="3" t="str">
        <f ca="1">IFERROR(__xludf.DUMMYFUNCTION("GOOGLETRANSLATE(B511,""ja"",""vi"")"),"đường dây")</f>
        <v>đường dây</v>
      </c>
      <c r="E511" t="str">
        <f t="shared" ca="1" si="7"/>
        <v>"2084259589" : "đường dây",</v>
      </c>
    </row>
    <row r="512" spans="1:5" ht="15.75" customHeight="1">
      <c r="A512" s="6">
        <v>2084259590</v>
      </c>
      <c r="B512" s="7" t="s">
        <v>105</v>
      </c>
      <c r="C512" s="7" t="s">
        <v>914</v>
      </c>
      <c r="D512" s="3" t="str">
        <f ca="1">IFERROR(__xludf.DUMMYFUNCTION("GOOGLETRANSLATE(B512,""ja"",""vi"")"),"nếu không thì")</f>
        <v>nếu không thì</v>
      </c>
      <c r="E512" t="str">
        <f t="shared" ca="1" si="7"/>
        <v>"2084259590" : "nếu không thì",</v>
      </c>
    </row>
    <row r="513" spans="1:5" ht="15.75" customHeight="1">
      <c r="A513" s="6">
        <v>2084259595</v>
      </c>
      <c r="B513" s="7" t="s">
        <v>915</v>
      </c>
      <c r="C513" s="7" t="s">
        <v>916</v>
      </c>
      <c r="D513" s="3" t="str">
        <f ca="1">IFERROR(__xludf.DUMMYFUNCTION("GOOGLETRANSLATE(B513,""ja"",""vi"")"),"diesel đầu máy")</f>
        <v>diesel đầu máy</v>
      </c>
      <c r="E513" t="str">
        <f t="shared" ca="1" si="7"/>
        <v>"2084259595" : "diesel đầu máy",</v>
      </c>
    </row>
    <row r="514" spans="1:5" ht="15.75" customHeight="1">
      <c r="A514" s="6">
        <v>2084259596</v>
      </c>
      <c r="B514" s="7" t="s">
        <v>917</v>
      </c>
      <c r="C514" s="7" t="s">
        <v>918</v>
      </c>
      <c r="D514" s="3" t="str">
        <f ca="1">IFERROR(__xludf.DUMMYFUNCTION("GOOGLETRANSLATE(B514,""ja"",""vi"")"),"Động cơ hơi nước")</f>
        <v>Động cơ hơi nước</v>
      </c>
      <c r="E514" t="str">
        <f t="shared" ref="E514:E577" ca="1" si="8">CONCATENATE(CHAR(34)&amp;"",A514,""&amp;CHAR(34)," : ", CHAR(34)&amp;"",D514,""&amp;CHAR(34),",")</f>
        <v>"2084259596" : "Động cơ hơi nước",</v>
      </c>
    </row>
    <row r="515" spans="1:5" ht="15.75" customHeight="1">
      <c r="A515" s="6">
        <v>2084259597</v>
      </c>
      <c r="B515" s="7" t="s">
        <v>919</v>
      </c>
      <c r="C515" s="7" t="s">
        <v>920</v>
      </c>
      <c r="D515" s="3" t="str">
        <f ca="1">IFERROR(__xludf.DUMMYFUNCTION("GOOGLETRANSLATE(B515,""ja"",""vi"")"),"đầu máy xe lửa điện")</f>
        <v>đầu máy xe lửa điện</v>
      </c>
      <c r="E515" t="str">
        <f t="shared" ca="1" si="8"/>
        <v>"2084259597" : "đầu máy xe lửa điện",</v>
      </c>
    </row>
    <row r="516" spans="1:5" ht="15.75" customHeight="1">
      <c r="A516" s="6">
        <v>2084259598</v>
      </c>
      <c r="B516" s="7" t="s">
        <v>898</v>
      </c>
      <c r="C516" s="7" t="s">
        <v>921</v>
      </c>
      <c r="D516" s="3" t="str">
        <f ca="1">IFERROR(__xludf.DUMMYFUNCTION("GOOGLETRANSLATE(B516,""ja"",""vi"")"),"JR, xe đường sắt")</f>
        <v>JR, xe đường sắt</v>
      </c>
      <c r="E516" t="str">
        <f t="shared" ca="1" si="8"/>
        <v>"2084259598" : "JR, xe đường sắt",</v>
      </c>
    </row>
    <row r="517" spans="1:5" ht="15.75" customHeight="1">
      <c r="A517" s="6">
        <v>2084259592</v>
      </c>
      <c r="B517" s="7" t="s">
        <v>896</v>
      </c>
      <c r="C517" s="7" t="s">
        <v>922</v>
      </c>
      <c r="D517" s="3" t="str">
        <f ca="1">IFERROR(__xludf.DUMMYFUNCTION("GOOGLETRANSLATE(B517,""ja"",""vi"")"),"chuyến tàu chở hàng")</f>
        <v>chuyến tàu chở hàng</v>
      </c>
      <c r="E517" t="str">
        <f t="shared" ca="1" si="8"/>
        <v>"2084259592" : "chuyến tàu chở hàng",</v>
      </c>
    </row>
    <row r="518" spans="1:5" ht="15.75" customHeight="1">
      <c r="A518" s="6">
        <v>2084259593</v>
      </c>
      <c r="B518" s="7" t="s">
        <v>900</v>
      </c>
      <c r="C518" s="7" t="s">
        <v>923</v>
      </c>
      <c r="D518" s="3" t="str">
        <f ca="1">IFERROR(__xludf.DUMMYFUNCTION("GOOGLETRANSLATE(B518,""ja"",""vi"")"),"xe nước ngoài")</f>
        <v>xe nước ngoài</v>
      </c>
      <c r="E518" t="str">
        <f t="shared" ca="1" si="8"/>
        <v>"2084259593" : "xe nước ngoài",</v>
      </c>
    </row>
    <row r="519" spans="1:5" ht="15.75" customHeight="1">
      <c r="A519" s="6">
        <v>2084259608</v>
      </c>
      <c r="B519" s="7" t="s">
        <v>924</v>
      </c>
      <c r="C519" s="7" t="s">
        <v>925</v>
      </c>
      <c r="D519" s="3" t="str">
        <f ca="1">IFERROR(__xludf.DUMMYFUNCTION("GOOGLETRANSLATE(B519,""ja"",""vi"")"),"xe đường sắt tư nhân")</f>
        <v>xe đường sắt tư nhân</v>
      </c>
      <c r="E519" t="str">
        <f t="shared" ca="1" si="8"/>
        <v>"2084259608" : "xe đường sắt tư nhân",</v>
      </c>
    </row>
    <row r="520" spans="1:5" ht="15.75" customHeight="1">
      <c r="A520" s="6">
        <v>2084259609</v>
      </c>
      <c r="B520" s="7" t="s">
        <v>904</v>
      </c>
      <c r="C520" s="7" t="s">
        <v>926</v>
      </c>
      <c r="D520" s="3" t="str">
        <f ca="1">IFERROR(__xludf.DUMMYFUNCTION("GOOGLETRANSLATE(B520,""ja"",""vi"")"),"Một xe điện")</f>
        <v>Một xe điện</v>
      </c>
      <c r="E520" t="str">
        <f t="shared" ca="1" si="8"/>
        <v>"2084259609" : "Một xe điện",</v>
      </c>
    </row>
    <row r="521" spans="1:5" ht="15.75" customHeight="1">
      <c r="A521" s="6">
        <v>2084259594</v>
      </c>
      <c r="B521" s="7" t="s">
        <v>906</v>
      </c>
      <c r="C521" s="7" t="s">
        <v>927</v>
      </c>
      <c r="D521" s="3" t="str">
        <f ca="1">IFERROR(__xludf.DUMMYFUNCTION("GOOGLETRANSLATE(B521,""ja"",""vi"")"),"phụ tùng xe")</f>
        <v>phụ tùng xe</v>
      </c>
      <c r="E521" t="str">
        <f t="shared" ca="1" si="8"/>
        <v>"2084259594" : "phụ tùng xe",</v>
      </c>
    </row>
    <row r="522" spans="1:5" ht="15.75" customHeight="1">
      <c r="A522" s="6">
        <v>2084259610</v>
      </c>
      <c r="B522" s="7" t="s">
        <v>908</v>
      </c>
      <c r="C522" s="7" t="s">
        <v>928</v>
      </c>
      <c r="D522" s="3" t="str">
        <f ca="1">IFERROR(__xludf.DUMMYFUNCTION("GOOGLETRANSLATE(B522,""ja"",""vi"")"),"cấu trúc")</f>
        <v>cấu trúc</v>
      </c>
      <c r="E522" t="str">
        <f t="shared" ca="1" si="8"/>
        <v>"2084259610" : "cấu trúc",</v>
      </c>
    </row>
    <row r="523" spans="1:5" ht="15.75" customHeight="1">
      <c r="A523" s="6">
        <v>2084259616</v>
      </c>
      <c r="B523" s="7" t="s">
        <v>910</v>
      </c>
      <c r="C523" s="7" t="s">
        <v>929</v>
      </c>
      <c r="D523" s="3" t="str">
        <f ca="1">IFERROR(__xludf.DUMMYFUNCTION("GOOGLETRANSLATE(B523,""ja"",""vi"")"),"Power Pack")</f>
        <v>Power Pack</v>
      </c>
      <c r="E523" t="str">
        <f t="shared" ca="1" si="8"/>
        <v>"2084259616" : "Power Pack",</v>
      </c>
    </row>
    <row r="524" spans="1:5" ht="15.75" customHeight="1">
      <c r="A524" s="6">
        <v>2084259617</v>
      </c>
      <c r="B524" s="7" t="s">
        <v>912</v>
      </c>
      <c r="C524" s="7" t="s">
        <v>930</v>
      </c>
      <c r="D524" s="3" t="str">
        <f ca="1">IFERROR(__xludf.DUMMYFUNCTION("GOOGLETRANSLATE(B524,""ja"",""vi"")"),"đường dây")</f>
        <v>đường dây</v>
      </c>
      <c r="E524" t="str">
        <f t="shared" ca="1" si="8"/>
        <v>"2084259617" : "đường dây",</v>
      </c>
    </row>
    <row r="525" spans="1:5" ht="15.75" customHeight="1">
      <c r="A525" s="6">
        <v>2084259618</v>
      </c>
      <c r="B525" s="7" t="s">
        <v>105</v>
      </c>
      <c r="C525" s="7" t="s">
        <v>931</v>
      </c>
      <c r="D525" s="3" t="str">
        <f ca="1">IFERROR(__xludf.DUMMYFUNCTION("GOOGLETRANSLATE(B525,""ja"",""vi"")"),"nếu không thì")</f>
        <v>nếu không thì</v>
      </c>
      <c r="E525" t="str">
        <f t="shared" ca="1" si="8"/>
        <v>"2084259618" : "nếu không thì",</v>
      </c>
    </row>
    <row r="526" spans="1:5" ht="15.75" customHeight="1">
      <c r="A526" s="6">
        <v>2084040706</v>
      </c>
      <c r="B526" s="7" t="s">
        <v>932</v>
      </c>
      <c r="C526" s="7" t="s">
        <v>933</v>
      </c>
      <c r="D526" s="3" t="str">
        <f ca="1">IFERROR(__xludf.DUMMYFUNCTION("GOOGLETRANSLATE(B526,""ja"",""vi"")"),"người máy")</f>
        <v>người máy</v>
      </c>
      <c r="E526" t="str">
        <f t="shared" ca="1" si="8"/>
        <v>"2084040706" : "người máy",</v>
      </c>
    </row>
    <row r="527" spans="1:5" ht="15.75" customHeight="1">
      <c r="A527" s="6">
        <v>2084040705</v>
      </c>
      <c r="B527" s="7" t="s">
        <v>934</v>
      </c>
      <c r="C527" s="7" t="s">
        <v>935</v>
      </c>
      <c r="D527" s="3" t="str">
        <f ca="1">IFERROR(__xludf.DUMMYFUNCTION("GOOGLETRANSLATE(B527,""ja"",""vi"")"),"con người")</f>
        <v>con người</v>
      </c>
      <c r="E527" t="str">
        <f t="shared" ca="1" si="8"/>
        <v>"2084040705" : "con người",</v>
      </c>
    </row>
    <row r="528" spans="1:5" ht="15.75" customHeight="1">
      <c r="A528" s="6">
        <v>2084040704</v>
      </c>
      <c r="B528" s="7" t="s">
        <v>936</v>
      </c>
      <c r="C528" s="7" t="s">
        <v>937</v>
      </c>
      <c r="D528" s="3" t="str">
        <f ca="1">IFERROR(__xludf.DUMMYFUNCTION("GOOGLETRANSLATE(B528,""ja"",""vi"")"),"động vật")</f>
        <v>động vật</v>
      </c>
      <c r="E528" t="str">
        <f t="shared" ca="1" si="8"/>
        <v>"2084040704" : "động vật",</v>
      </c>
    </row>
    <row r="529" spans="1:5" ht="15.75" customHeight="1">
      <c r="A529" s="6">
        <v>2084040699</v>
      </c>
      <c r="B529" s="7" t="s">
        <v>591</v>
      </c>
      <c r="C529" s="7" t="s">
        <v>938</v>
      </c>
      <c r="D529" s="3" t="str">
        <f ca="1">IFERROR(__xludf.DUMMYFUNCTION("GOOGLETRANSLATE(B529,""ja"",""vi"")"),"xe cộ")</f>
        <v>xe cộ</v>
      </c>
      <c r="E529" t="str">
        <f t="shared" ca="1" si="8"/>
        <v>"2084040699" : "xe cộ",</v>
      </c>
    </row>
    <row r="530" spans="1:5" ht="15.75" customHeight="1">
      <c r="A530" s="6">
        <v>2084040707</v>
      </c>
      <c r="B530" s="7" t="s">
        <v>105</v>
      </c>
      <c r="C530" s="7" t="s">
        <v>939</v>
      </c>
      <c r="D530" s="3" t="str">
        <f ca="1">IFERROR(__xludf.DUMMYFUNCTION("GOOGLETRANSLATE(B530,""ja"",""vi"")"),"nếu không thì")</f>
        <v>nếu không thì</v>
      </c>
      <c r="E530" t="str">
        <f t="shared" ca="1" si="8"/>
        <v>"2084040707" : "nếu không thì",</v>
      </c>
    </row>
    <row r="531" spans="1:5" ht="15.75" customHeight="1">
      <c r="A531" s="6">
        <v>2084023721</v>
      </c>
      <c r="B531" s="7" t="s">
        <v>480</v>
      </c>
      <c r="C531" s="7" t="s">
        <v>481</v>
      </c>
      <c r="D531" s="3" t="str">
        <f ca="1">IFERROR(__xludf.DUMMYFUNCTION("GOOGLETRANSLATE(B531,""ja"",""vi"")"),"Kikaider")</f>
        <v>Kikaider</v>
      </c>
      <c r="E531" t="str">
        <f t="shared" ca="1" si="8"/>
        <v>"2084023721" : "Kikaider",</v>
      </c>
    </row>
    <row r="532" spans="1:5" ht="15.75" customHeight="1">
      <c r="A532" s="6">
        <v>2084023722</v>
      </c>
      <c r="B532" s="7" t="s">
        <v>482</v>
      </c>
      <c r="C532" s="7" t="s">
        <v>483</v>
      </c>
      <c r="D532" s="3" t="str">
        <f ca="1">IFERROR(__xludf.DUMMYFUNCTION("GOOGLETRANSLATE(B532,""ja"",""vi"")"),"Robot thám")</f>
        <v>Robot thám</v>
      </c>
      <c r="E532" t="str">
        <f t="shared" ca="1" si="8"/>
        <v>"2084023722" : "Robot thám",</v>
      </c>
    </row>
    <row r="533" spans="1:5" ht="15.75" customHeight="1">
      <c r="A533" s="6">
        <v>2084023723</v>
      </c>
      <c r="B533" s="7" t="s">
        <v>484</v>
      </c>
      <c r="C533" s="7" t="s">
        <v>485</v>
      </c>
      <c r="D533" s="3" t="str">
        <f ca="1">IFERROR(__xludf.DUMMYFUNCTION("GOOGLETRANSLATE(B533,""ja"",""vi"")"),"Kikaider 01")</f>
        <v>Kikaider 01</v>
      </c>
      <c r="E533" t="str">
        <f t="shared" ca="1" si="8"/>
        <v>"2084023723" : "Kikaider 01",</v>
      </c>
    </row>
    <row r="534" spans="1:5" ht="15.75" customHeight="1">
      <c r="A534" s="6">
        <v>2084023623</v>
      </c>
      <c r="B534" s="7" t="s">
        <v>486</v>
      </c>
      <c r="C534" s="7" t="s">
        <v>487</v>
      </c>
      <c r="D534" s="3" t="str">
        <f ca="1">IFERROR(__xludf.DUMMYFUNCTION("GOOGLETRANSLATE(B534,""ja"",""vi"")"),"Ultraman")</f>
        <v>Ultraman</v>
      </c>
      <c r="E534" t="str">
        <f t="shared" ca="1" si="8"/>
        <v>"2084023623" : "Ultraman",</v>
      </c>
    </row>
    <row r="535" spans="1:5" ht="15.75" customHeight="1">
      <c r="A535" s="6">
        <v>2084023745</v>
      </c>
      <c r="B535" s="7" t="s">
        <v>488</v>
      </c>
      <c r="C535" s="7" t="s">
        <v>489</v>
      </c>
      <c r="D535" s="3" t="str">
        <f ca="1">IFERROR(__xludf.DUMMYFUNCTION("GOOGLETRANSLATE(B535,""ja"",""vi"")"),"Godzilla, con quái vật")</f>
        <v>Godzilla, con quái vật</v>
      </c>
      <c r="E535" t="str">
        <f t="shared" ca="1" si="8"/>
        <v>"2084023745" : "Godzilla, con quái vật",</v>
      </c>
    </row>
    <row r="536" spans="1:5" ht="15.75" customHeight="1">
      <c r="A536" s="6">
        <v>2084023694</v>
      </c>
      <c r="B536" s="7" t="s">
        <v>490</v>
      </c>
      <c r="C536" s="7" t="s">
        <v>491</v>
      </c>
      <c r="D536" s="3" t="str">
        <f ca="1">IFERROR(__xludf.DUMMYFUNCTION("GOOGLETRANSLATE(B536,""ja"",""vi"")"),"kim loại Dòng")</f>
        <v>kim loại Dòng</v>
      </c>
      <c r="E536" t="str">
        <f t="shared" ca="1" si="8"/>
        <v>"2084023694" : "kim loại Dòng",</v>
      </c>
    </row>
    <row r="537" spans="1:5" ht="15.75" customHeight="1">
      <c r="A537" s="6">
        <v>2084023644</v>
      </c>
      <c r="B537" s="7" t="s">
        <v>492</v>
      </c>
      <c r="C537" s="7" t="s">
        <v>493</v>
      </c>
      <c r="D537" s="3" t="str">
        <f ca="1">IFERROR(__xludf.DUMMYFUNCTION("GOOGLETRANSLATE(B537,""ja"",""vi"")"),"masked Rider")</f>
        <v>masked Rider</v>
      </c>
      <c r="E537" t="str">
        <f t="shared" ca="1" si="8"/>
        <v>"2084023644" : "masked Rider",</v>
      </c>
    </row>
    <row r="538" spans="1:5" ht="15.75" customHeight="1">
      <c r="A538" s="6">
        <v>2084023661</v>
      </c>
      <c r="B538" s="7" t="s">
        <v>494</v>
      </c>
      <c r="C538" s="7" t="s">
        <v>495</v>
      </c>
      <c r="D538" s="3" t="str">
        <f ca="1">IFERROR(__xludf.DUMMYFUNCTION("GOOGLETRANSLATE(B538,""ja"",""vi"")"),"Sentai Dòng")</f>
        <v>Sentai Dòng</v>
      </c>
      <c r="E538" t="str">
        <f t="shared" ca="1" si="8"/>
        <v>"2084023661" : "Sentai Dòng",</v>
      </c>
    </row>
    <row r="539" spans="1:5" ht="15.75" customHeight="1">
      <c r="A539" s="6">
        <v>2084023719</v>
      </c>
      <c r="B539" s="7" t="s">
        <v>475</v>
      </c>
      <c r="C539" s="7" t="s">
        <v>496</v>
      </c>
      <c r="D539" s="3" t="str">
        <f ca="1">IFERROR(__xludf.DUMMYFUNCTION("GOOGLETRANSLATE(B539,""ja"",""vi"")"),"anh hùng Robot")</f>
        <v>anh hùng Robot</v>
      </c>
      <c r="E539" t="str">
        <f t="shared" ca="1" si="8"/>
        <v>"2084023719" : "anh hùng Robot",</v>
      </c>
    </row>
    <row r="540" spans="1:5" ht="15.75" customHeight="1">
      <c r="A540" s="6">
        <v>2084047373</v>
      </c>
      <c r="B540" s="7" t="s">
        <v>105</v>
      </c>
      <c r="C540" s="7" t="s">
        <v>497</v>
      </c>
      <c r="D540" s="3" t="str">
        <f ca="1">IFERROR(__xludf.DUMMYFUNCTION("GOOGLETRANSLATE(B540,""ja"",""vi"")"),"nếu không thì")</f>
        <v>nếu không thì</v>
      </c>
      <c r="E540" t="str">
        <f t="shared" ca="1" si="8"/>
        <v>"2084047373" : "nếu không thì",</v>
      </c>
    </row>
    <row r="541" spans="1:5" ht="15.75" customHeight="1">
      <c r="A541" s="6">
        <v>2084052787</v>
      </c>
      <c r="B541" s="7" t="s">
        <v>74</v>
      </c>
      <c r="C541" s="7" t="s">
        <v>940</v>
      </c>
      <c r="D541" s="3" t="str">
        <f ca="1">IFERROR(__xludf.DUMMYFUNCTION("GOOGLETRANSLATE(B541,""ja"",""vi"")"),"Một cơ thể")</f>
        <v>Một cơ thể</v>
      </c>
      <c r="E541" t="str">
        <f t="shared" ca="1" si="8"/>
        <v>"2084052787" : "Một cơ thể",</v>
      </c>
    </row>
    <row r="542" spans="1:5" ht="15.75" customHeight="1">
      <c r="A542" s="6">
        <v>2084052788</v>
      </c>
      <c r="B542" s="7" t="s">
        <v>941</v>
      </c>
      <c r="C542" s="7" t="s">
        <v>942</v>
      </c>
      <c r="D542" s="3" t="str">
        <f ca="1">IFERROR(__xludf.DUMMYFUNCTION("GOOGLETRANSLATE(B542,""ja"",""vi"")"),"Quần áo, giày dép")</f>
        <v>Quần áo, giày dép</v>
      </c>
      <c r="E542" t="str">
        <f t="shared" ca="1" si="8"/>
        <v>"2084052788" : "Quần áo, giày dép",</v>
      </c>
    </row>
    <row r="543" spans="1:5" ht="15.75" customHeight="1">
      <c r="A543" s="6">
        <v>2084052789</v>
      </c>
      <c r="B543" s="7" t="s">
        <v>784</v>
      </c>
      <c r="C543" s="7" t="s">
        <v>943</v>
      </c>
      <c r="D543" s="3" t="str">
        <f ca="1">IFERROR(__xludf.DUMMYFUNCTION("GOOGLETRANSLATE(B543,""ja"",""vi"")"),"bộ phận")</f>
        <v>bộ phận</v>
      </c>
      <c r="E543" t="str">
        <f t="shared" ca="1" si="8"/>
        <v>"2084052789" : "bộ phận",</v>
      </c>
    </row>
    <row r="544" spans="1:5" ht="15.75" customHeight="1">
      <c r="A544" s="6">
        <v>2084052790</v>
      </c>
      <c r="B544" s="7" t="s">
        <v>944</v>
      </c>
      <c r="C544" s="7" t="s">
        <v>945</v>
      </c>
      <c r="D544" s="3" t="str">
        <f ca="1">IFERROR(__xludf.DUMMYFUNCTION("GOOGLETRANSLATE(B544,""ja"",""vi"")"),"phụ kiện")</f>
        <v>phụ kiện</v>
      </c>
      <c r="E544" t="str">
        <f t="shared" ca="1" si="8"/>
        <v>"2084052790" : "phụ kiện",</v>
      </c>
    </row>
    <row r="545" spans="1:5" ht="15.75" customHeight="1">
      <c r="A545" s="6">
        <v>2084052791</v>
      </c>
      <c r="B545" s="7" t="s">
        <v>105</v>
      </c>
      <c r="C545" s="7" t="s">
        <v>946</v>
      </c>
      <c r="D545" s="3" t="str">
        <f ca="1">IFERROR(__xludf.DUMMYFUNCTION("GOOGLETRANSLATE(B545,""ja"",""vi"")"),"nếu không thì")</f>
        <v>nếu không thì</v>
      </c>
      <c r="E545" t="str">
        <f t="shared" ca="1" si="8"/>
        <v>"2084052791" : "nếu không thì",</v>
      </c>
    </row>
    <row r="546" spans="1:5" ht="15.75" customHeight="1">
      <c r="A546" s="6">
        <v>2084258813</v>
      </c>
      <c r="B546" s="7" t="s">
        <v>74</v>
      </c>
      <c r="C546" s="7" t="s">
        <v>947</v>
      </c>
      <c r="D546" s="3" t="str">
        <f ca="1">IFERROR(__xludf.DUMMYFUNCTION("GOOGLETRANSLATE(B546,""ja"",""vi"")"),"Một cơ thể")</f>
        <v>Một cơ thể</v>
      </c>
      <c r="E546" t="str">
        <f t="shared" ca="1" si="8"/>
        <v>"2084258813" : "Một cơ thể",</v>
      </c>
    </row>
    <row r="547" spans="1:5" ht="15.75" customHeight="1">
      <c r="A547" s="6">
        <v>2084258814</v>
      </c>
      <c r="B547" s="7" t="s">
        <v>784</v>
      </c>
      <c r="C547" s="7" t="s">
        <v>948</v>
      </c>
      <c r="D547" s="3" t="str">
        <f ca="1">IFERROR(__xludf.DUMMYFUNCTION("GOOGLETRANSLATE(B547,""ja"",""vi"")"),"bộ phận")</f>
        <v>bộ phận</v>
      </c>
      <c r="E547" t="str">
        <f t="shared" ca="1" si="8"/>
        <v>"2084258814" : "bộ phận",</v>
      </c>
    </row>
    <row r="548" spans="1:5" ht="15.75" customHeight="1">
      <c r="A548" s="6">
        <v>2084258815</v>
      </c>
      <c r="B548" s="7" t="s">
        <v>105</v>
      </c>
      <c r="C548" s="7" t="s">
        <v>949</v>
      </c>
      <c r="D548" s="3" t="str">
        <f ca="1">IFERROR(__xludf.DUMMYFUNCTION("GOOGLETRANSLATE(B548,""ja"",""vi"")"),"nếu không thì")</f>
        <v>nếu không thì</v>
      </c>
      <c r="E548" t="str">
        <f t="shared" ca="1" si="8"/>
        <v>"2084258815" : "nếu không thì",</v>
      </c>
    </row>
    <row r="549" spans="1:5" ht="15.75" customHeight="1">
      <c r="A549" s="6">
        <v>2084052784</v>
      </c>
      <c r="B549" s="7" t="s">
        <v>74</v>
      </c>
      <c r="C549" s="7" t="s">
        <v>950</v>
      </c>
      <c r="D549" s="3" t="str">
        <f ca="1">IFERROR(__xludf.DUMMYFUNCTION("GOOGLETRANSLATE(B549,""ja"",""vi"")"),"Một cơ thể")</f>
        <v>Một cơ thể</v>
      </c>
      <c r="E549" t="str">
        <f t="shared" ca="1" si="8"/>
        <v>"2084052784" : "Một cơ thể",</v>
      </c>
    </row>
    <row r="550" spans="1:5" ht="15.75" customHeight="1">
      <c r="A550" s="6">
        <v>2084052785</v>
      </c>
      <c r="B550" s="7" t="s">
        <v>784</v>
      </c>
      <c r="C550" s="7" t="s">
        <v>951</v>
      </c>
      <c r="D550" s="3" t="str">
        <f ca="1">IFERROR(__xludf.DUMMYFUNCTION("GOOGLETRANSLATE(B550,""ja"",""vi"")"),"bộ phận")</f>
        <v>bộ phận</v>
      </c>
      <c r="E550" t="str">
        <f t="shared" ca="1" si="8"/>
        <v>"2084052785" : "bộ phận",</v>
      </c>
    </row>
    <row r="551" spans="1:5" ht="15.75" customHeight="1">
      <c r="A551" s="6">
        <v>2084052786</v>
      </c>
      <c r="B551" s="7" t="s">
        <v>105</v>
      </c>
      <c r="C551" s="7" t="s">
        <v>952</v>
      </c>
      <c r="D551" s="3" t="str">
        <f ca="1">IFERROR(__xludf.DUMMYFUNCTION("GOOGLETRANSLATE(B551,""ja"",""vi"")"),"nếu không thì")</f>
        <v>nếu không thì</v>
      </c>
      <c r="E551" t="str">
        <f t="shared" ca="1" si="8"/>
        <v>"2084052786" : "nếu không thì",</v>
      </c>
    </row>
    <row r="552" spans="1:5" ht="15.75" customHeight="1">
      <c r="A552" s="6">
        <v>2084020055</v>
      </c>
      <c r="B552" s="7" t="s">
        <v>596</v>
      </c>
      <c r="C552" s="7" t="s">
        <v>597</v>
      </c>
      <c r="D552" s="3" t="str">
        <f ca="1">IFERROR(__xludf.DUMMYFUNCTION("GOOGLETRANSLATE(B552,""ja"",""vi"")"),"Paddington Gấu")</f>
        <v>Paddington Gấu</v>
      </c>
      <c r="E552" t="str">
        <f t="shared" ca="1" si="8"/>
        <v>"2084020055" : "Paddington Gấu",</v>
      </c>
    </row>
    <row r="553" spans="1:5" ht="15.75" customHeight="1">
      <c r="A553" s="6">
        <v>2084020052</v>
      </c>
      <c r="B553" s="7" t="s">
        <v>598</v>
      </c>
      <c r="C553" s="7" t="s">
        <v>599</v>
      </c>
      <c r="D553" s="3" t="str">
        <f ca="1">IFERROR(__xludf.DUMMYFUNCTION("GOOGLETRANSLATE(B553,""ja"",""vi"")"),"Babar voi")</f>
        <v>Babar voi</v>
      </c>
      <c r="E553" t="str">
        <f t="shared" ca="1" si="8"/>
        <v>"2084020052" : "Babar voi",</v>
      </c>
    </row>
    <row r="554" spans="1:5" ht="15.75" customHeight="1">
      <c r="A554" s="6">
        <v>2084020034</v>
      </c>
      <c r="B554" s="7" t="s">
        <v>600</v>
      </c>
      <c r="C554" s="7" t="s">
        <v>601</v>
      </c>
      <c r="D554" s="3" t="str">
        <f ca="1">IFERROR(__xludf.DUMMYFUNCTION("GOOGLETRANSLATE(B554,""ja"",""vi"")"),"Tarepanda")</f>
        <v>Tarepanda</v>
      </c>
      <c r="E554" t="str">
        <f t="shared" ca="1" si="8"/>
        <v>"2084020034" : "Tarepanda",</v>
      </c>
    </row>
    <row r="555" spans="1:5" ht="15.75" customHeight="1">
      <c r="A555" s="6">
        <v>2084020035</v>
      </c>
      <c r="B555" s="7" t="s">
        <v>602</v>
      </c>
      <c r="C555" s="7" t="s">
        <v>603</v>
      </c>
      <c r="D555" s="3" t="str">
        <f ca="1">IFERROR(__xludf.DUMMYFUNCTION("GOOGLETRANSLATE(B555,""ja"",""vi"")"),"My Neighbor Totoro")</f>
        <v>My Neighbor Totoro</v>
      </c>
      <c r="E555" t="str">
        <f t="shared" ca="1" si="8"/>
        <v>"2084020035" : "My Neighbor Totoro",</v>
      </c>
    </row>
    <row r="556" spans="1:5" ht="15.75" customHeight="1">
      <c r="A556" s="6">
        <v>2084020061</v>
      </c>
      <c r="B556" s="7" t="s">
        <v>604</v>
      </c>
      <c r="C556" s="7" t="s">
        <v>605</v>
      </c>
      <c r="D556" s="3" t="str">
        <f ca="1">IFERROR(__xludf.DUMMYFUNCTION("GOOGLETRANSLATE(B556,""ja"",""vi"")"),"Dokodemoissyo")</f>
        <v>Dokodemoissyo</v>
      </c>
      <c r="E556" t="str">
        <f t="shared" ca="1" si="8"/>
        <v>"2084020061" : "Dokodemoissyo",</v>
      </c>
    </row>
    <row r="557" spans="1:5" ht="15.75" customHeight="1">
      <c r="A557" s="6">
        <v>2084020056</v>
      </c>
      <c r="B557" s="7" t="s">
        <v>606</v>
      </c>
      <c r="C557" s="7" t="s">
        <v>607</v>
      </c>
      <c r="D557" s="3" t="str">
        <f ca="1">IFERROR(__xludf.DUMMYFUNCTION("GOOGLETRANSLATE(B557,""ja"",""vi"")"),"Curious George")</f>
        <v>Curious George</v>
      </c>
      <c r="E557" t="str">
        <f t="shared" ca="1" si="8"/>
        <v>"2084020056" : "Curious George",</v>
      </c>
    </row>
    <row r="558" spans="1:5" ht="15.75" customHeight="1">
      <c r="A558" s="6">
        <v>2084020050</v>
      </c>
      <c r="B558" s="7" t="s">
        <v>608</v>
      </c>
      <c r="C558" s="7" t="s">
        <v>609</v>
      </c>
      <c r="D558" s="3" t="str">
        <f ca="1">IFERROR(__xludf.DUMMYFUNCTION("GOOGLETRANSLATE(B558,""ja"",""vi"")"),"Anpanman")</f>
        <v>Anpanman</v>
      </c>
      <c r="E558" t="str">
        <f t="shared" ca="1" si="8"/>
        <v>"2084020050" : "Anpanman",</v>
      </c>
    </row>
    <row r="559" spans="1:5" ht="15.75" customHeight="1">
      <c r="A559" s="6">
        <v>2084020042</v>
      </c>
      <c r="B559" s="7" t="s">
        <v>610</v>
      </c>
      <c r="C559" s="7" t="s">
        <v>611</v>
      </c>
      <c r="D559" s="3" t="str">
        <f ca="1">IFERROR(__xludf.DUMMYFUNCTION("GOOGLETRANSLATE(B559,""ja"",""vi"")"),"chim gõ kiến")</f>
        <v>chim gõ kiến</v>
      </c>
      <c r="E559" t="str">
        <f t="shared" ca="1" si="8"/>
        <v>"2084020042" : "chim gõ kiến",</v>
      </c>
    </row>
    <row r="560" spans="1:5" ht="15.75" customHeight="1">
      <c r="A560" s="6">
        <v>2084020047</v>
      </c>
      <c r="B560" s="7" t="s">
        <v>612</v>
      </c>
      <c r="C560" s="7" t="s">
        <v>613</v>
      </c>
      <c r="D560" s="3" t="str">
        <f ca="1">IFERROR(__xludf.DUMMYFUNCTION("GOOGLETRANSLATE(B560,""ja"",""vi"")"),"Q Taro của ma")</f>
        <v>Q Taro của ma</v>
      </c>
      <c r="E560" t="str">
        <f t="shared" ca="1" si="8"/>
        <v>"2084020047" : "Q Taro của ma",</v>
      </c>
    </row>
    <row r="561" spans="1:5" ht="15.75" customHeight="1">
      <c r="A561" s="6">
        <v>2084020036</v>
      </c>
      <c r="B561" s="7" t="s">
        <v>614</v>
      </c>
      <c r="C561" s="7" t="s">
        <v>615</v>
      </c>
      <c r="D561" s="3" t="str">
        <f ca="1">IFERROR(__xludf.DUMMYFUNCTION("GOOGLETRANSLATE(B561,""ja"",""vi"")"),"Garfield")</f>
        <v>Garfield</v>
      </c>
      <c r="E561" t="str">
        <f t="shared" ca="1" si="8"/>
        <v>"2084020036" : "Garfield",</v>
      </c>
    </row>
    <row r="562" spans="1:5" ht="15.75" customHeight="1">
      <c r="A562" s="6">
        <v>2084020037</v>
      </c>
      <c r="B562" s="7" t="s">
        <v>616</v>
      </c>
      <c r="C562" s="7" t="s">
        <v>617</v>
      </c>
      <c r="D562" s="3" t="str">
        <f ca="1">IFERROR(__xludf.DUMMYFUNCTION("GOOGLETRANSLATE(B562,""ja"",""vi"")"),"Casper")</f>
        <v>Casper</v>
      </c>
      <c r="E562" t="str">
        <f t="shared" ca="1" si="8"/>
        <v>"2084020037" : "Casper",</v>
      </c>
    </row>
    <row r="563" spans="1:5" ht="15.75" customHeight="1">
      <c r="A563" s="6">
        <v>2084020016</v>
      </c>
      <c r="B563" s="7" t="s">
        <v>618</v>
      </c>
      <c r="C563" s="7" t="s">
        <v>619</v>
      </c>
      <c r="D563" s="3" t="str">
        <f ca="1">IFERROR(__xludf.DUMMYFUNCTION("GOOGLETRANSLATE(B563,""ja"",""vi"")"),"Kewpie")</f>
        <v>Kewpie</v>
      </c>
      <c r="E563" t="str">
        <f t="shared" ca="1" si="8"/>
        <v>"2084020016" : "Kewpie",</v>
      </c>
    </row>
    <row r="564" spans="1:5" ht="15.75" customHeight="1">
      <c r="A564" s="6">
        <v>2084048015</v>
      </c>
      <c r="B564" s="7" t="s">
        <v>620</v>
      </c>
      <c r="C564" s="7" t="s">
        <v>621</v>
      </c>
      <c r="D564" s="3" t="str">
        <f ca="1">IFERROR(__xludf.DUMMYFUNCTION("GOOGLETRANSLATE(B564,""ja"",""vi"")"),"Kubrick, gạch trần")</f>
        <v>Kubrick, gạch trần</v>
      </c>
      <c r="E564" t="str">
        <f t="shared" ca="1" si="8"/>
        <v>"2084048015" : "Kubrick, gạch trần",</v>
      </c>
    </row>
    <row r="565" spans="1:5" ht="15.75" customHeight="1">
      <c r="A565" s="6">
        <v>2084020058</v>
      </c>
      <c r="B565" s="7" t="s">
        <v>622</v>
      </c>
      <c r="C565" s="7" t="s">
        <v>623</v>
      </c>
      <c r="D565" s="3" t="str">
        <f ca="1">IFERROR(__xludf.DUMMYFUNCTION("GOOGLETRANSLATE(B565,""ja"",""vi"")"),"Gremlin")</f>
        <v>Gremlin</v>
      </c>
      <c r="E565" t="str">
        <f t="shared" ca="1" si="8"/>
        <v>"2084020058" : "Gremlin",</v>
      </c>
    </row>
    <row r="566" spans="1:5" ht="15.75" customHeight="1">
      <c r="A566" s="6">
        <v>2084020043</v>
      </c>
      <c r="B566" s="7" t="s">
        <v>624</v>
      </c>
      <c r="C566" s="7" t="s">
        <v>625</v>
      </c>
      <c r="D566" s="3" t="str">
        <f ca="1">IFERROR(__xludf.DUMMYFUNCTION("GOOGLETRANSLATE(B566,""ja"",""vi"")"),"Ken Ken")</f>
        <v>Ken Ken</v>
      </c>
      <c r="E566" t="str">
        <f t="shared" ca="1" si="8"/>
        <v>"2084020043" : "Ken Ken",</v>
      </c>
    </row>
    <row r="567" spans="1:5" ht="15.75" customHeight="1">
      <c r="A567" s="6">
        <v>2084005261</v>
      </c>
      <c r="B567" s="7" t="s">
        <v>626</v>
      </c>
      <c r="C567" s="7" t="s">
        <v>627</v>
      </c>
      <c r="D567" s="3" t="str">
        <f ca="1">IFERROR(__xludf.DUMMYFUNCTION("GOOGLETRANSLATE(B567,""ja"",""vi"")"),"Gia đình Sylvanian")</f>
        <v>Gia đình Sylvanian</v>
      </c>
      <c r="E567" t="str">
        <f t="shared" ca="1" si="8"/>
        <v>"2084005261" : "Gia đình Sylvanian",</v>
      </c>
    </row>
    <row r="568" spans="1:5" ht="15.75" customHeight="1">
      <c r="A568" s="6">
        <v>2084020051</v>
      </c>
      <c r="B568" s="7" t="s">
        <v>628</v>
      </c>
      <c r="C568" s="7" t="s">
        <v>629</v>
      </c>
      <c r="D568" s="3" t="str">
        <f ca="1">IFERROR(__xludf.DUMMYFUNCTION("GOOGLETRANSLATE(B568,""ja"",""vi"")"),"người tuyết được nắn")</f>
        <v>người tuyết được nắn</v>
      </c>
      <c r="E568" t="str">
        <f t="shared" ca="1" si="8"/>
        <v>"2084020051" : "người tuyết được nắn",</v>
      </c>
    </row>
    <row r="569" spans="1:5" ht="15.75" customHeight="1">
      <c r="A569" s="6">
        <v>2084034100</v>
      </c>
      <c r="B569" s="7" t="s">
        <v>630</v>
      </c>
      <c r="C569" s="7" t="s">
        <v>631</v>
      </c>
      <c r="D569" s="3" t="str">
        <f ca="1">IFERROR(__xludf.DUMMYFUNCTION("GOOGLETRANSLATE(B569,""ja"",""vi"")"),"The Smurfs")</f>
        <v>The Smurfs</v>
      </c>
      <c r="E569" t="str">
        <f t="shared" ca="1" si="8"/>
        <v>"2084034100" : "The Smurfs",</v>
      </c>
    </row>
    <row r="570" spans="1:5" ht="15.75" customHeight="1">
      <c r="A570" s="6">
        <v>2084020044</v>
      </c>
      <c r="B570" s="7" t="s">
        <v>632</v>
      </c>
      <c r="C570" s="7" t="s">
        <v>633</v>
      </c>
      <c r="D570" s="3" t="str">
        <f ca="1">IFERROR(__xludf.DUMMYFUNCTION("GOOGLETRANSLATE(B570,""ja"",""vi"")"),"Sesame Street")</f>
        <v>Sesame Street</v>
      </c>
      <c r="E570" t="str">
        <f t="shared" ca="1" si="8"/>
        <v>"2084020044" : "Sesame Street",</v>
      </c>
    </row>
    <row r="571" spans="1:5" ht="15.75" customHeight="1">
      <c r="A571" s="6">
        <v>2084040586</v>
      </c>
      <c r="B571" s="7" t="s">
        <v>634</v>
      </c>
      <c r="C571" s="7" t="s">
        <v>635</v>
      </c>
      <c r="D571" s="3" t="str">
        <f ca="1">IFERROR(__xludf.DUMMYFUNCTION("GOOGLETRANSLATE(B571,""ja"",""vi"")"),"Hug-chan")</f>
        <v>Hug-chan</v>
      </c>
      <c r="E571" t="str">
        <f t="shared" ca="1" si="8"/>
        <v>"2084040586" : "Hug-chan",</v>
      </c>
    </row>
    <row r="572" spans="1:5" ht="15.75" customHeight="1">
      <c r="A572" s="6">
        <v>2084020045</v>
      </c>
      <c r="B572" s="7" t="s">
        <v>636</v>
      </c>
      <c r="C572" s="7" t="s">
        <v>637</v>
      </c>
      <c r="D572" s="3" t="str">
        <f ca="1">IFERROR(__xludf.DUMMYFUNCTION("GOOGLETRANSLATE(B572,""ja"",""vi"")"),"Teletubbies")</f>
        <v>Teletubbies</v>
      </c>
      <c r="E572" t="str">
        <f t="shared" ca="1" si="8"/>
        <v>"2084020045" : "Teletubbies",</v>
      </c>
    </row>
    <row r="573" spans="1:5" ht="15.75" customHeight="1">
      <c r="A573" s="6">
        <v>27587</v>
      </c>
      <c r="B573" s="7" t="s">
        <v>429</v>
      </c>
      <c r="C573" s="7" t="s">
        <v>638</v>
      </c>
      <c r="D573" s="3" t="str">
        <f ca="1">IFERROR(__xludf.DUMMYFUNCTION("GOOGLETRANSLATE(B573,""ja"",""vi"")"),"Disney")</f>
        <v>Disney</v>
      </c>
      <c r="E573" t="str">
        <f t="shared" ca="1" si="8"/>
        <v>"27587" : "Disney",</v>
      </c>
    </row>
    <row r="574" spans="1:5" ht="15.75" customHeight="1">
      <c r="A574" s="6">
        <v>2084020046</v>
      </c>
      <c r="B574" s="7" t="s">
        <v>639</v>
      </c>
      <c r="C574" s="7" t="s">
        <v>640</v>
      </c>
      <c r="D574" s="3" t="str">
        <f ca="1">IFERROR(__xludf.DUMMYFUNCTION("GOOGLETRANSLATE(B574,""ja"",""vi"")"),"topo Gigio")</f>
        <v>topo Gigio</v>
      </c>
      <c r="E574" t="str">
        <f t="shared" ca="1" si="8"/>
        <v>"2084020046" : "topo Gigio",</v>
      </c>
    </row>
    <row r="575" spans="1:5" ht="15.75" customHeight="1">
      <c r="A575" s="6">
        <v>2084020041</v>
      </c>
      <c r="B575" s="7" t="s">
        <v>641</v>
      </c>
      <c r="C575" s="7" t="s">
        <v>642</v>
      </c>
      <c r="D575" s="3" t="str">
        <f ca="1">IFERROR(__xludf.DUMMYFUNCTION("GOOGLETRANSLATE(B575,""ja"",""vi"")"),"Tom &amp; Jerry")</f>
        <v>Tom &amp; Jerry</v>
      </c>
      <c r="E575" t="str">
        <f t="shared" ca="1" si="8"/>
        <v>"2084020041" : "Tom &amp; Jerry",</v>
      </c>
    </row>
    <row r="576" spans="1:5" ht="15.75" customHeight="1">
      <c r="A576" s="6">
        <v>2084020048</v>
      </c>
      <c r="B576" s="7" t="s">
        <v>643</v>
      </c>
      <c r="C576" s="7" t="s">
        <v>644</v>
      </c>
      <c r="D576" s="3" t="str">
        <f ca="1">IFERROR(__xludf.DUMMYFUNCTION("GOOGLETRANSLATE(B576,""ja"",""vi"")"),"Doraemon")</f>
        <v>Doraemon</v>
      </c>
      <c r="E576" t="str">
        <f t="shared" ca="1" si="8"/>
        <v>"2084020048" : "Doraemon",</v>
      </c>
    </row>
    <row r="577" spans="1:5" ht="15.75" customHeight="1">
      <c r="A577" s="6">
        <v>2084020033</v>
      </c>
      <c r="B577" s="7" t="s">
        <v>645</v>
      </c>
      <c r="C577" s="7" t="s">
        <v>646</v>
      </c>
      <c r="D577" s="3" t="str">
        <f ca="1">IFERROR(__xludf.DUMMYFUNCTION("GOOGLETRANSLATE(B577,""ja"",""vi"")"),"Hello Kitty")</f>
        <v>Hello Kitty</v>
      </c>
      <c r="E577" t="str">
        <f t="shared" ca="1" si="8"/>
        <v>"2084020033" : "Hello Kitty",</v>
      </c>
    </row>
    <row r="578" spans="1:5" ht="15.75" customHeight="1">
      <c r="A578" s="6">
        <v>2084020057</v>
      </c>
      <c r="B578" s="7" t="s">
        <v>647</v>
      </c>
      <c r="C578" s="7" t="s">
        <v>648</v>
      </c>
      <c r="D578" s="3" t="str">
        <f ca="1">IFERROR(__xludf.DUMMYFUNCTION("GOOGLETRANSLATE(B578,""ja"",""vi"")"),"Barbapapa")</f>
        <v>Barbapapa</v>
      </c>
      <c r="E578" t="str">
        <f t="shared" ref="E578:E641" ca="1" si="9">CONCATENATE(CHAR(34)&amp;"",A578,""&amp;CHAR(34)," : ", CHAR(34)&amp;"",D578,""&amp;CHAR(34),",")</f>
        <v>"2084020057" : "Barbapapa",</v>
      </c>
    </row>
    <row r="579" spans="1:5" ht="15.75" customHeight="1">
      <c r="A579" s="6">
        <v>2084020053</v>
      </c>
      <c r="B579" s="7" t="s">
        <v>649</v>
      </c>
      <c r="C579" s="7" t="s">
        <v>650</v>
      </c>
      <c r="D579" s="3" t="str">
        <f ca="1">IFERROR(__xludf.DUMMYFUNCTION("GOOGLETRANSLATE(B579,""ja"",""vi"")"),"Peter Rabbit")</f>
        <v>Peter Rabbit</v>
      </c>
      <c r="E579" t="str">
        <f t="shared" ca="1" si="9"/>
        <v>"2084020053" : "Peter Rabbit",</v>
      </c>
    </row>
    <row r="580" spans="1:5" ht="15.75" customHeight="1">
      <c r="A580" s="6">
        <v>25966</v>
      </c>
      <c r="B580" s="7" t="s">
        <v>651</v>
      </c>
      <c r="C580" s="7" t="s">
        <v>652</v>
      </c>
      <c r="D580" s="3" t="str">
        <f ca="1">IFERROR(__xludf.DUMMYFUNCTION("GOOGLETRANSLATE(B580,""ja"",""vi"")"),"Đậu phộng, Snoopy")</f>
        <v>Đậu phộng, Snoopy</v>
      </c>
      <c r="E580" t="str">
        <f t="shared" ca="1" si="9"/>
        <v>"25966" : "Đậu phộng, Snoopy",</v>
      </c>
    </row>
    <row r="581" spans="1:5" ht="15.75" customHeight="1">
      <c r="A581" s="6">
        <v>2084020040</v>
      </c>
      <c r="B581" s="7" t="s">
        <v>653</v>
      </c>
      <c r="C581" s="7" t="s">
        <v>654</v>
      </c>
      <c r="D581" s="3" t="str">
        <f ca="1">IFERROR(__xludf.DUMMYFUNCTION("GOOGLETRANSLATE(B581,""ja"",""vi"")"),"pink Panther")</f>
        <v>pink Panther</v>
      </c>
      <c r="E581" t="str">
        <f t="shared" ca="1" si="9"/>
        <v>"2084020040" : "pink Panther",</v>
      </c>
    </row>
    <row r="582" spans="1:5" ht="15.75" customHeight="1">
      <c r="A582" s="6">
        <v>2084020039</v>
      </c>
      <c r="B582" s="7" t="s">
        <v>655</v>
      </c>
      <c r="C582" s="7" t="s">
        <v>656</v>
      </c>
      <c r="D582" s="3" t="str">
        <f ca="1">IFERROR(__xludf.DUMMYFUNCTION("GOOGLETRANSLATE(B582,""ja"",""vi"")"),"Pingu")</f>
        <v>Pingu</v>
      </c>
      <c r="E582" t="str">
        <f t="shared" ca="1" si="9"/>
        <v>"2084020039" : "Pingu",</v>
      </c>
    </row>
    <row r="583" spans="1:5" ht="15.75" customHeight="1">
      <c r="A583" s="6">
        <v>2084020059</v>
      </c>
      <c r="B583" s="7" t="s">
        <v>657</v>
      </c>
      <c r="C583" s="7" t="s">
        <v>658</v>
      </c>
      <c r="D583" s="3" t="str">
        <f ca="1">IFERROR(__xludf.DUMMYFUNCTION("GOOGLETRANSLATE(B583,""ja"",""vi"")"),"vảy mủn trên da người bịnh")</f>
        <v>vảy mủn trên da người bịnh</v>
      </c>
      <c r="E583" t="str">
        <f t="shared" ca="1" si="9"/>
        <v>"2084020059" : "vảy mủn trên da người bịnh",</v>
      </c>
    </row>
    <row r="584" spans="1:5" ht="15.75" customHeight="1">
      <c r="A584" s="6">
        <v>2084046540</v>
      </c>
      <c r="B584" s="7" t="s">
        <v>659</v>
      </c>
      <c r="C584" s="7" t="s">
        <v>660</v>
      </c>
      <c r="D584" s="3" t="str">
        <f ca="1">IFERROR(__xludf.DUMMYFUNCTION("GOOGLETRANSLATE(B584,""ja"",""vi"")"),"Bryce")</f>
        <v>Bryce</v>
      </c>
      <c r="E584" t="str">
        <f t="shared" ca="1" si="9"/>
        <v>"2084046540" : "Bryce",</v>
      </c>
    </row>
    <row r="585" spans="1:5" ht="15.75" customHeight="1">
      <c r="A585" s="6">
        <v>2084049982</v>
      </c>
      <c r="B585" s="7" t="s">
        <v>661</v>
      </c>
      <c r="C585" s="7" t="s">
        <v>662</v>
      </c>
      <c r="D585" s="3" t="str">
        <f ca="1">IFERROR(__xludf.DUMMYFUNCTION("GOOGLETRANSLATE(B585,""ja"",""vi"")"),"Pullip")</f>
        <v>Pullip</v>
      </c>
      <c r="E585" t="str">
        <f t="shared" ca="1" si="9"/>
        <v>"2084049982" : "Pullip",</v>
      </c>
    </row>
    <row r="586" spans="1:5" ht="15.75" customHeight="1">
      <c r="A586" s="6">
        <v>2084020060</v>
      </c>
      <c r="B586" s="7" t="s">
        <v>663</v>
      </c>
      <c r="C586" s="7" t="s">
        <v>664</v>
      </c>
      <c r="D586" s="3" t="str">
        <f ca="1">IFERROR(__xludf.DUMMYFUNCTION("GOOGLETRANSLATE(B586,""ja"",""vi"")"),"Pokemon")</f>
        <v>Pokemon</v>
      </c>
      <c r="E586" t="str">
        <f t="shared" ca="1" si="9"/>
        <v>"2084020060" : "Pokemon",</v>
      </c>
    </row>
    <row r="587" spans="1:5" ht="15.75" customHeight="1">
      <c r="A587" s="6">
        <v>2084020038</v>
      </c>
      <c r="B587" s="7" t="s">
        <v>665</v>
      </c>
      <c r="C587" s="7" t="s">
        <v>666</v>
      </c>
      <c r="D587" s="3" t="str">
        <f ca="1">IFERROR(__xludf.DUMMYFUNCTION("GOOGLETRANSLATE(B587,""ja"",""vi"")"),"Popeye")</f>
        <v>Popeye</v>
      </c>
      <c r="E587" t="str">
        <f t="shared" ca="1" si="9"/>
        <v>"2084020038" : "Popeye",</v>
      </c>
    </row>
    <row r="588" spans="1:5" ht="15.75" customHeight="1">
      <c r="A588" s="6">
        <v>2084020054</v>
      </c>
      <c r="B588" s="7" t="s">
        <v>667</v>
      </c>
      <c r="C588" s="7" t="s">
        <v>668</v>
      </c>
      <c r="D588" s="3" t="str">
        <f ca="1">IFERROR(__xludf.DUMMYFUNCTION("GOOGLETRANSLATE(B588,""ja"",""vi"")"),"Miffy")</f>
        <v>Miffy</v>
      </c>
      <c r="E588" t="str">
        <f t="shared" ca="1" si="9"/>
        <v>"2084020054" : "Miffy",</v>
      </c>
    </row>
    <row r="589" spans="1:5" ht="15.75" customHeight="1">
      <c r="A589" s="6">
        <v>2084020049</v>
      </c>
      <c r="B589" s="7" t="s">
        <v>669</v>
      </c>
      <c r="C589" s="7" t="s">
        <v>670</v>
      </c>
      <c r="D589" s="3" t="str">
        <f ca="1">IFERROR(__xludf.DUMMYFUNCTION("GOOGLETRANSLATE(B589,""ja"",""vi"")"),"Moomin")</f>
        <v>Moomin</v>
      </c>
      <c r="E589" t="str">
        <f t="shared" ca="1" si="9"/>
        <v>"2084020049" : "Moomin",</v>
      </c>
    </row>
    <row r="590" spans="1:5" ht="15.75" customHeight="1">
      <c r="A590" s="6">
        <v>2084020062</v>
      </c>
      <c r="B590" s="7" t="s">
        <v>105</v>
      </c>
      <c r="C590" s="7" t="s">
        <v>671</v>
      </c>
      <c r="D590" s="3" t="str">
        <f ca="1">IFERROR(__xludf.DUMMYFUNCTION("GOOGLETRANSLATE(B590,""ja"",""vi"")"),"nếu không thì")</f>
        <v>nếu không thì</v>
      </c>
      <c r="E590" t="str">
        <f t="shared" ca="1" si="9"/>
        <v>"2084020062" : "nếu không thì",</v>
      </c>
    </row>
    <row r="591" spans="1:5" ht="15.75" customHeight="1">
      <c r="A591" s="6">
        <v>25466</v>
      </c>
      <c r="B591" s="7" t="s">
        <v>953</v>
      </c>
      <c r="C591" s="7" t="s">
        <v>954</v>
      </c>
      <c r="D591" s="3" t="str">
        <f ca="1">IFERROR(__xludf.DUMMYFUNCTION("GOOGLETRANSLATE(B591,""ja"",""vi"")"),"búp bê Barbie")</f>
        <v>búp bê Barbie</v>
      </c>
      <c r="E591" t="str">
        <f t="shared" ca="1" si="9"/>
        <v>"25466" : "búp bê Barbie",</v>
      </c>
    </row>
    <row r="592" spans="1:5" ht="15.75" customHeight="1">
      <c r="A592" s="6">
        <v>2084005092</v>
      </c>
      <c r="B592" s="7" t="s">
        <v>955</v>
      </c>
      <c r="C592" s="7" t="s">
        <v>956</v>
      </c>
      <c r="D592" s="3" t="str">
        <f ca="1">IFERROR(__xludf.DUMMYFUNCTION("GOOGLETRANSLATE(B592,""ja"",""vi"")"),"xe cần trục")</f>
        <v>xe cần trục</v>
      </c>
      <c r="E592" t="str">
        <f t="shared" ca="1" si="9"/>
        <v>"2084005092" : "xe cần trục",</v>
      </c>
    </row>
    <row r="593" spans="1:5" ht="15.75" customHeight="1">
      <c r="A593" s="6">
        <v>2084005093</v>
      </c>
      <c r="B593" s="7" t="s">
        <v>957</v>
      </c>
      <c r="C593" s="7" t="s">
        <v>958</v>
      </c>
      <c r="D593" s="3" t="str">
        <f ca="1">IFERROR(__xludf.DUMMYFUNCTION("GOOGLETRANSLATE(B593,""ja"",""vi"")"),"Rika-chan")</f>
        <v>Rika-chan</v>
      </c>
      <c r="E593" t="str">
        <f t="shared" ca="1" si="9"/>
        <v>"2084005093" : "Rika-chan",</v>
      </c>
    </row>
    <row r="594" spans="1:5" ht="15.75" customHeight="1">
      <c r="A594" s="6">
        <v>2084310500</v>
      </c>
      <c r="B594" s="7" t="s">
        <v>959</v>
      </c>
      <c r="C594" s="7" t="s">
        <v>960</v>
      </c>
      <c r="D594" s="3" t="str">
        <f ca="1">IFERROR(__xludf.DUMMYFUNCTION("GOOGLETRANSLATE(B594,""ja"",""vi"")"),"Momoko")</f>
        <v>Momoko</v>
      </c>
      <c r="E594" t="str">
        <f t="shared" ca="1" si="9"/>
        <v>"2084310500" : "Momoko",</v>
      </c>
    </row>
    <row r="595" spans="1:5" ht="15.75" customHeight="1">
      <c r="A595" s="6">
        <v>2084048446</v>
      </c>
      <c r="B595" s="7" t="s">
        <v>961</v>
      </c>
      <c r="C595" s="7" t="s">
        <v>962</v>
      </c>
      <c r="D595" s="3" t="str">
        <f ca="1">IFERROR(__xludf.DUMMYFUNCTION("GOOGLETRANSLATE(B595,""ja"",""vi"")"),"nhỏ gọn Doll")</f>
        <v>nhỏ gọn Doll</v>
      </c>
      <c r="E595" t="str">
        <f t="shared" ca="1" si="9"/>
        <v>"2084048446" : "nhỏ gọn Doll",</v>
      </c>
    </row>
    <row r="596" spans="1:5" ht="15.75" customHeight="1">
      <c r="A596" s="6">
        <v>2084046540</v>
      </c>
      <c r="B596" s="7" t="s">
        <v>659</v>
      </c>
      <c r="C596" s="7" t="s">
        <v>963</v>
      </c>
      <c r="D596" s="3" t="str">
        <f ca="1">IFERROR(__xludf.DUMMYFUNCTION("GOOGLETRANSLATE(B596,""ja"",""vi"")"),"Bryce")</f>
        <v>Bryce</v>
      </c>
      <c r="E596" t="str">
        <f t="shared" ca="1" si="9"/>
        <v>"2084046540" : "Bryce",</v>
      </c>
    </row>
    <row r="597" spans="1:5" ht="15.75" customHeight="1">
      <c r="A597" s="6">
        <v>2084020013</v>
      </c>
      <c r="B597" s="7" t="s">
        <v>105</v>
      </c>
      <c r="C597" s="7" t="s">
        <v>964</v>
      </c>
      <c r="D597" s="3" t="str">
        <f ca="1">IFERROR(__xludf.DUMMYFUNCTION("GOOGLETRANSLATE(B597,""ja"",""vi"")"),"nếu không thì")</f>
        <v>nếu không thì</v>
      </c>
      <c r="E597" t="str">
        <f t="shared" ca="1" si="9"/>
        <v>"2084020013" : "nếu không thì",</v>
      </c>
    </row>
    <row r="598" spans="1:5" ht="15.75" customHeight="1">
      <c r="A598" s="6">
        <v>2084060159</v>
      </c>
      <c r="B598" s="7" t="s">
        <v>965</v>
      </c>
      <c r="C598" s="7" t="s">
        <v>966</v>
      </c>
      <c r="D598" s="3" t="str">
        <f ca="1">IFERROR(__xludf.DUMMYFUNCTION("GOOGLETRANSLATE(B598,""ja"",""vi"")"),"Không dịu dàng búp bê gỗ")</f>
        <v>Không dịu dàng búp bê gỗ</v>
      </c>
      <c r="E598" t="str">
        <f t="shared" ca="1" si="9"/>
        <v>"2084060159" : "Không dịu dàng búp bê gỗ",</v>
      </c>
    </row>
    <row r="599" spans="1:5" ht="15.75" customHeight="1">
      <c r="A599" s="6">
        <v>2084007499</v>
      </c>
      <c r="B599" s="7" t="s">
        <v>967</v>
      </c>
      <c r="C599" s="7" t="s">
        <v>968</v>
      </c>
      <c r="D599" s="3" t="str">
        <f ca="1">IFERROR(__xludf.DUMMYFUNCTION("GOOGLETRANSLATE(B599,""ja"",""vi"")"),"búp bê")</f>
        <v>búp bê</v>
      </c>
      <c r="E599" t="str">
        <f t="shared" ca="1" si="9"/>
        <v>"2084007499" : "búp bê",</v>
      </c>
    </row>
    <row r="600" spans="1:5" ht="15.75" customHeight="1">
      <c r="A600" s="6">
        <v>2084007514</v>
      </c>
      <c r="B600" s="7" t="s">
        <v>969</v>
      </c>
      <c r="C600" s="7" t="s">
        <v>970</v>
      </c>
      <c r="D600" s="3" t="str">
        <f ca="1">IFERROR(__xludf.DUMMYFUNCTION("GOOGLETRANSLATE(B600,""ja"",""vi"")"),"búp bê hoan tháng Boys'")</f>
        <v>búp bê hoan tháng Boys'</v>
      </c>
      <c r="E600" t="str">
        <f t="shared" ca="1" si="9"/>
        <v>"2084007514" : "búp bê hoan tháng Boys'",</v>
      </c>
    </row>
    <row r="601" spans="1:5" ht="15.75" customHeight="1">
      <c r="A601" s="6">
        <v>2084020065</v>
      </c>
      <c r="B601" s="7" t="s">
        <v>971</v>
      </c>
      <c r="C601" s="7" t="s">
        <v>972</v>
      </c>
      <c r="D601" s="3" t="str">
        <f ca="1">IFERROR(__xludf.DUMMYFUNCTION("GOOGLETRANSLATE(B601,""ja"",""vi"")"),"Imperial Palace búp bê")</f>
        <v>Imperial Palace búp bê</v>
      </c>
      <c r="E601" t="str">
        <f t="shared" ca="1" si="9"/>
        <v>"2084020065" : "Imperial Palace búp bê",</v>
      </c>
    </row>
    <row r="602" spans="1:5" ht="15.75" customHeight="1">
      <c r="A602" s="6">
        <v>2084020064</v>
      </c>
      <c r="B602" s="7" t="s">
        <v>973</v>
      </c>
      <c r="C602" s="7" t="s">
        <v>974</v>
      </c>
      <c r="D602" s="3" t="str">
        <f ca="1">IFERROR(__xludf.DUMMYFUNCTION("GOOGLETRANSLATE(B602,""ja"",""vi"")"),"búp bê rô")</f>
        <v>búp bê rô</v>
      </c>
      <c r="E602" t="str">
        <f t="shared" ca="1" si="9"/>
        <v>"2084020064" : "búp bê rô",</v>
      </c>
    </row>
    <row r="603" spans="1:5" ht="15.75" customHeight="1">
      <c r="A603" s="6">
        <v>2084020066</v>
      </c>
      <c r="B603" s="7" t="s">
        <v>975</v>
      </c>
      <c r="C603" s="7" t="s">
        <v>976</v>
      </c>
      <c r="D603" s="3" t="str">
        <f ca="1">IFERROR(__xludf.DUMMYFUNCTION("GOOGLETRANSLATE(B603,""ja"",""vi"")"),"Kimekominingyo")</f>
        <v>Kimekominingyo</v>
      </c>
      <c r="E603" t="str">
        <f t="shared" ca="1" si="9"/>
        <v>"2084020066" : "Kimekominingyo",</v>
      </c>
    </row>
    <row r="604" spans="1:5" ht="15.75" customHeight="1">
      <c r="A604" s="6">
        <v>2084048374</v>
      </c>
      <c r="B604" s="7" t="s">
        <v>105</v>
      </c>
      <c r="C604" s="7" t="s">
        <v>977</v>
      </c>
      <c r="D604" s="3" t="str">
        <f ca="1">IFERROR(__xludf.DUMMYFUNCTION("GOOGLETRANSLATE(B604,""ja"",""vi"")"),"nếu không thì")</f>
        <v>nếu không thì</v>
      </c>
      <c r="E604" t="str">
        <f t="shared" ca="1" si="9"/>
        <v>"2084048374" : "nếu không thì",</v>
      </c>
    </row>
    <row r="605" spans="1:5" ht="15.75" customHeight="1">
      <c r="A605" s="6">
        <v>2084020100</v>
      </c>
      <c r="B605" s="7" t="s">
        <v>978</v>
      </c>
      <c r="C605" s="7" t="s">
        <v>979</v>
      </c>
      <c r="D605" s="3" t="str">
        <f ca="1">IFERROR(__xludf.DUMMYFUNCTION("GOOGLETRANSLATE(B605,""ja"",""vi"")"),"nhân vật")</f>
        <v>nhân vật</v>
      </c>
      <c r="E605" t="str">
        <f t="shared" ca="1" si="9"/>
        <v>"2084020100" : "nhân vật",</v>
      </c>
    </row>
    <row r="606" spans="1:5" ht="15.75" customHeight="1">
      <c r="A606" s="6">
        <v>40509</v>
      </c>
      <c r="B606" s="7" t="s">
        <v>936</v>
      </c>
      <c r="C606" s="7" t="s">
        <v>980</v>
      </c>
      <c r="D606" s="3" t="str">
        <f ca="1">IFERROR(__xludf.DUMMYFUNCTION("GOOGLETRANSLATE(B606,""ja"",""vi"")"),"động vật")</f>
        <v>động vật</v>
      </c>
      <c r="E606" t="str">
        <f t="shared" ca="1" si="9"/>
        <v>"40509" : "động vật",</v>
      </c>
    </row>
    <row r="607" spans="1:5" ht="15.75" customHeight="1">
      <c r="A607" s="6">
        <v>25812</v>
      </c>
      <c r="B607" s="7" t="s">
        <v>981</v>
      </c>
      <c r="C607" s="7" t="s">
        <v>982</v>
      </c>
      <c r="D607" s="3" t="str">
        <f ca="1">IFERROR(__xludf.DUMMYFUNCTION("GOOGLETRANSLATE(B607,""ja"",""vi"")"),"gấu bông")</f>
        <v>gấu bông</v>
      </c>
      <c r="E607" t="str">
        <f t="shared" ca="1" si="9"/>
        <v>"25812" : "gấu bông",</v>
      </c>
    </row>
    <row r="608" spans="1:5" ht="15.75" customHeight="1">
      <c r="A608" s="6">
        <v>2084039599</v>
      </c>
      <c r="B608" s="7" t="s">
        <v>983</v>
      </c>
      <c r="C608" s="7" t="s">
        <v>984</v>
      </c>
      <c r="D608" s="3" t="str">
        <f ca="1">IFERROR(__xludf.DUMMYFUNCTION("GOOGLETRANSLATE(B608,""ja"",""vi"")"),"dệt kim")</f>
        <v>dệt kim</v>
      </c>
      <c r="E608" t="str">
        <f t="shared" ca="1" si="9"/>
        <v>"2084039599" : "dệt kim",</v>
      </c>
    </row>
    <row r="609" spans="1:5" ht="15.75" customHeight="1">
      <c r="A609" s="6">
        <v>2084310501</v>
      </c>
      <c r="B609" s="7" t="s">
        <v>985</v>
      </c>
      <c r="C609" s="7" t="s">
        <v>986</v>
      </c>
      <c r="D609" s="3" t="str">
        <f ca="1">IFERROR(__xludf.DUMMYFUNCTION("GOOGLETRANSLATE(B609,""ja"",""vi"")"),"len dạ")</f>
        <v>len dạ</v>
      </c>
      <c r="E609" t="str">
        <f t="shared" ca="1" si="9"/>
        <v>"2084310501" : "len dạ",</v>
      </c>
    </row>
    <row r="610" spans="1:5" ht="15.75" customHeight="1">
      <c r="A610" s="6">
        <v>2084310651</v>
      </c>
      <c r="B610" s="7" t="s">
        <v>987</v>
      </c>
      <c r="C610" s="7" t="s">
        <v>988</v>
      </c>
      <c r="D610" s="3" t="str">
        <f ca="1">IFERROR(__xludf.DUMMYFUNCTION("GOOGLETRANSLATE(B610,""ja"",""vi"")"),"ty Binizu")</f>
        <v>ty Binizu</v>
      </c>
      <c r="E610" t="str">
        <f t="shared" ca="1" si="9"/>
        <v>"2084310651" : "ty Binizu",</v>
      </c>
    </row>
    <row r="611" spans="1:5" ht="15.75" customHeight="1">
      <c r="A611" s="6">
        <v>2084023782</v>
      </c>
      <c r="B611" s="7" t="s">
        <v>989</v>
      </c>
      <c r="C611" s="7" t="s">
        <v>990</v>
      </c>
      <c r="D611" s="3" t="str">
        <f ca="1">IFERROR(__xludf.DUMMYFUNCTION("GOOGLETRANSLATE(B611,""ja"",""vi"")"),"Truyện tranh, hoạt hình")</f>
        <v>Truyện tranh, hoạt hình</v>
      </c>
      <c r="E611" t="str">
        <f t="shared" ca="1" si="9"/>
        <v>"2084023782" : "Truyện tranh, hoạt hình",</v>
      </c>
    </row>
    <row r="612" spans="1:5" ht="15.75" customHeight="1">
      <c r="A612" s="6">
        <v>2084023622</v>
      </c>
      <c r="B612" s="7" t="s">
        <v>366</v>
      </c>
      <c r="C612" s="7" t="s">
        <v>991</v>
      </c>
      <c r="D612" s="3" t="str">
        <f ca="1">IFERROR(__xludf.DUMMYFUNCTION("GOOGLETRANSLATE(B612,""ja"",""vi"")"),"hiệu ứng đặc biệt")</f>
        <v>hiệu ứng đặc biệt</v>
      </c>
      <c r="E612" t="str">
        <f t="shared" ca="1" si="9"/>
        <v>"2084023622" : "hiệu ứng đặc biệt",</v>
      </c>
    </row>
    <row r="613" spans="1:5" ht="15.75" customHeight="1">
      <c r="A613" s="6">
        <v>2084040564</v>
      </c>
      <c r="B613" s="7" t="s">
        <v>992</v>
      </c>
      <c r="C613" s="7" t="s">
        <v>993</v>
      </c>
      <c r="D613" s="3" t="str">
        <f ca="1">IFERROR(__xludf.DUMMYFUNCTION("GOOGLETRANSLATE(B613,""ja"",""vi"")"),"nhân vật game")</f>
        <v>nhân vật game</v>
      </c>
      <c r="E613" t="str">
        <f t="shared" ca="1" si="9"/>
        <v>"2084040564" : "nhân vật game",</v>
      </c>
    </row>
    <row r="614" spans="1:5" ht="15.75" customHeight="1">
      <c r="A614" s="6">
        <v>2084023799</v>
      </c>
      <c r="B614" s="7" t="s">
        <v>994</v>
      </c>
      <c r="C614" s="7" t="s">
        <v>995</v>
      </c>
      <c r="D614" s="3" t="str">
        <f ca="1">IFERROR(__xludf.DUMMYFUNCTION("GOOGLETRANSLATE(B614,""ja"",""vi"")"),"SF, Fantasy, Horror")</f>
        <v>SF, Fantasy, Horror</v>
      </c>
      <c r="E614" t="str">
        <f t="shared" ca="1" si="9"/>
        <v>"2084023799" : "SF, Fantasy, Horror",</v>
      </c>
    </row>
    <row r="615" spans="1:5" ht="15.75" customHeight="1">
      <c r="A615" s="6">
        <v>21688</v>
      </c>
      <c r="B615" s="7" t="s">
        <v>996</v>
      </c>
      <c r="C615" s="7" t="s">
        <v>997</v>
      </c>
      <c r="D615" s="3" t="str">
        <f ca="1">IFERROR(__xludf.DUMMYFUNCTION("GOOGLETRANSLATE(B615,""ja"",""vi"")"),"truyện tranh Mỹ")</f>
        <v>truyện tranh Mỹ</v>
      </c>
      <c r="E615" t="str">
        <f t="shared" ca="1" si="9"/>
        <v>"21688" : "truyện tranh Mỹ",</v>
      </c>
    </row>
    <row r="616" spans="1:5" ht="15.75" customHeight="1">
      <c r="A616" s="6">
        <v>25892</v>
      </c>
      <c r="B616" s="7" t="s">
        <v>170</v>
      </c>
      <c r="C616" s="7" t="s">
        <v>998</v>
      </c>
      <c r="D616" s="3" t="str">
        <f ca="1">IFERROR(__xludf.DUMMYFUNCTION("GOOGLETRANSLATE(B616,""ja"",""vi"")"),"thể thao")</f>
        <v>thể thao</v>
      </c>
      <c r="E616" t="str">
        <f t="shared" ca="1" si="9"/>
        <v>"25892" : "thể thao",</v>
      </c>
    </row>
    <row r="617" spans="1:5" ht="15.75" customHeight="1">
      <c r="A617" s="6">
        <v>25890</v>
      </c>
      <c r="B617" s="7" t="s">
        <v>999</v>
      </c>
      <c r="C617" s="7" t="s">
        <v>1000</v>
      </c>
      <c r="D617" s="3" t="str">
        <f ca="1">IFERROR(__xludf.DUMMYFUNCTION("GOOGLETRANSLATE(B617,""ja"",""vi"")"),"quân đội")</f>
        <v>quân đội</v>
      </c>
      <c r="E617" t="str">
        <f t="shared" ca="1" si="9"/>
        <v>"25890" : "quân đội",</v>
      </c>
    </row>
    <row r="618" spans="1:5" ht="15.75" customHeight="1">
      <c r="A618" s="6">
        <v>2084063729</v>
      </c>
      <c r="B618" s="7" t="s">
        <v>1001</v>
      </c>
      <c r="C618" s="7" t="s">
        <v>1002</v>
      </c>
      <c r="D618" s="3" t="str">
        <f ca="1">IFERROR(__xludf.DUMMYFUNCTION("GOOGLETRANSLATE(B618,""ja"",""vi"")"),"vật sống")</f>
        <v>vật sống</v>
      </c>
      <c r="E618" t="str">
        <f t="shared" ca="1" si="9"/>
        <v>"2084063729" : "vật sống",</v>
      </c>
    </row>
    <row r="619" spans="1:5" ht="15.75" customHeight="1">
      <c r="A619" s="6">
        <v>2084023795</v>
      </c>
      <c r="B619" s="7" t="s">
        <v>1003</v>
      </c>
      <c r="C619" s="7" t="s">
        <v>1004</v>
      </c>
      <c r="D619" s="3" t="str">
        <f ca="1">IFERROR(__xludf.DUMMYFUNCTION("GOOGLETRANSLATE(B619,""ja"",""vi"")"),"Giải trí, tài năng")</f>
        <v>Giải trí, tài năng</v>
      </c>
      <c r="E619" t="str">
        <f t="shared" ca="1" si="9"/>
        <v>"2084023795" : "Giải trí, tài năng",</v>
      </c>
    </row>
    <row r="620" spans="1:5" ht="15.75" customHeight="1">
      <c r="A620" s="6">
        <v>2084042426</v>
      </c>
      <c r="B620" s="7" t="s">
        <v>1005</v>
      </c>
      <c r="C620" s="7" t="s">
        <v>1006</v>
      </c>
      <c r="D620" s="3" t="str">
        <f ca="1">IFERROR(__xludf.DUMMYFUNCTION("GOOGLETRANSLATE(B620,""ja"",""vi"")"),"chơi lịch sử")</f>
        <v>chơi lịch sử</v>
      </c>
      <c r="E620" t="str">
        <f t="shared" ca="1" si="9"/>
        <v>"2084042426" : "chơi lịch sử",</v>
      </c>
    </row>
    <row r="621" spans="1:5" ht="15.75" customHeight="1">
      <c r="A621" s="6">
        <v>2084023831</v>
      </c>
      <c r="B621" s="7" t="s">
        <v>1007</v>
      </c>
      <c r="C621" s="7" t="s">
        <v>1008</v>
      </c>
      <c r="D621" s="3" t="str">
        <f ca="1">IFERROR(__xludf.DUMMYFUNCTION("GOOGLETRANSLATE(B621,""ja"",""vi"")"),"Sáng tạo, ban đầu")</f>
        <v>Sáng tạo, ban đầu</v>
      </c>
      <c r="E621" t="str">
        <f t="shared" ca="1" si="9"/>
        <v>"2084023831" : "Sáng tạo, ban đầu",</v>
      </c>
    </row>
    <row r="622" spans="1:5" ht="15.75" customHeight="1">
      <c r="A622" s="6">
        <v>25870</v>
      </c>
      <c r="B622" s="7" t="s">
        <v>1009</v>
      </c>
      <c r="C622" s="7" t="s">
        <v>1010</v>
      </c>
      <c r="D622" s="3" t="str">
        <f ca="1">IFERROR(__xludf.DUMMYFUNCTION("GOOGLETRANSLATE(B622,""ja"",""vi"")"),"nhân vật búp bê")</f>
        <v>nhân vật búp bê</v>
      </c>
      <c r="E622" t="str">
        <f t="shared" ca="1" si="9"/>
        <v>"25870" : "nhân vật búp bê",</v>
      </c>
    </row>
    <row r="623" spans="1:5" ht="15.75" customHeight="1">
      <c r="A623" s="6">
        <v>2084309436</v>
      </c>
      <c r="B623" s="7" t="s">
        <v>105</v>
      </c>
      <c r="C623" s="7" t="s">
        <v>1011</v>
      </c>
      <c r="D623" s="3" t="str">
        <f ca="1">IFERROR(__xludf.DUMMYFUNCTION("GOOGLETRANSLATE(B623,""ja"",""vi"")"),"nếu không thì")</f>
        <v>nếu không thì</v>
      </c>
      <c r="E623" t="str">
        <f t="shared" ca="1" si="9"/>
        <v>"2084309436" : "nếu không thì",</v>
      </c>
    </row>
    <row r="624" spans="1:5" ht="15.75" customHeight="1">
      <c r="A624" s="6">
        <v>2084020165</v>
      </c>
      <c r="B624" s="7" t="s">
        <v>1012</v>
      </c>
      <c r="C624" s="7" t="s">
        <v>1013</v>
      </c>
      <c r="D624" s="3" t="str">
        <f ca="1">IFERROR(__xludf.DUMMYFUNCTION("GOOGLETRANSLATE(B624,""ja"",""vi"")"),"Rascal Raccoon")</f>
        <v>Rascal Raccoon</v>
      </c>
      <c r="E624" t="str">
        <f t="shared" ca="1" si="9"/>
        <v>"2084020165" : "Rascal Raccoon",</v>
      </c>
    </row>
    <row r="625" spans="1:5" ht="15.75" customHeight="1">
      <c r="A625" s="6">
        <v>2084310502</v>
      </c>
      <c r="B625" s="7" t="s">
        <v>1014</v>
      </c>
      <c r="C625" s="7" t="s">
        <v>1015</v>
      </c>
      <c r="D625" s="3" t="str">
        <f ca="1">IFERROR(__xludf.DUMMYFUNCTION("GOOGLETRANSLATE(B625,""ja"",""vi"")"),"Touch Thám kit trồng Nameko")</f>
        <v>Touch Thám kit trồng Nameko</v>
      </c>
      <c r="E625" t="str">
        <f t="shared" ca="1" si="9"/>
        <v>"2084310502" : "Touch Thám kit trồng Nameko",</v>
      </c>
    </row>
    <row r="626" spans="1:5" ht="15.75" customHeight="1">
      <c r="A626" s="6">
        <v>2084044854</v>
      </c>
      <c r="B626" s="7" t="s">
        <v>1016</v>
      </c>
      <c r="C626" s="7" t="s">
        <v>1017</v>
      </c>
      <c r="D626" s="3" t="str">
        <f ca="1">IFERROR(__xludf.DUMMYFUNCTION("GOOGLETRANSLATE(B626,""ja"",""vi"")"),"Ojarumaru")</f>
        <v>Ojarumaru</v>
      </c>
      <c r="E626" t="str">
        <f t="shared" ca="1" si="9"/>
        <v>"2084044854" : "Ojarumaru",</v>
      </c>
    </row>
    <row r="627" spans="1:5" ht="15.75" customHeight="1">
      <c r="A627" s="6">
        <v>2084020144</v>
      </c>
      <c r="B627" s="7" t="s">
        <v>1018</v>
      </c>
      <c r="C627" s="7" t="s">
        <v>1019</v>
      </c>
      <c r="D627" s="3" t="str">
        <f ca="1">IFERROR(__xludf.DUMMYFUNCTION("GOOGLETRANSLATE(B627,""ja"",""vi"")"),"Afro chó")</f>
        <v>Afro chó</v>
      </c>
      <c r="E627" t="str">
        <f t="shared" ca="1" si="9"/>
        <v>"2084020144" : "Afro chó",</v>
      </c>
    </row>
    <row r="628" spans="1:5" ht="15.75" customHeight="1">
      <c r="A628" s="6">
        <v>2084020167</v>
      </c>
      <c r="B628" s="7" t="s">
        <v>608</v>
      </c>
      <c r="C628" s="7" t="s">
        <v>1020</v>
      </c>
      <c r="D628" s="3" t="str">
        <f ca="1">IFERROR(__xludf.DUMMYFUNCTION("GOOGLETRANSLATE(B628,""ja"",""vi"")"),"Anpanman")</f>
        <v>Anpanman</v>
      </c>
      <c r="E628" t="str">
        <f t="shared" ca="1" si="9"/>
        <v>"2084020167" : "Anpanman",</v>
      </c>
    </row>
    <row r="629" spans="1:5" ht="15.75" customHeight="1">
      <c r="A629" s="6">
        <v>2084020147</v>
      </c>
      <c r="B629" s="7" t="s">
        <v>1021</v>
      </c>
      <c r="C629" s="7" t="s">
        <v>1022</v>
      </c>
      <c r="D629" s="3" t="str">
        <f ca="1">IFERROR(__xludf.DUMMYFUNCTION("GOOGLETRANSLATE(B629,""ja"",""vi"")"),"Kogepan")</f>
        <v>Kogepan</v>
      </c>
      <c r="E629" t="str">
        <f t="shared" ca="1" si="9"/>
        <v>"2084020147" : "Kogepan",</v>
      </c>
    </row>
    <row r="630" spans="1:5" ht="15.75" customHeight="1">
      <c r="A630" s="6">
        <v>2084227897</v>
      </c>
      <c r="B630" s="7" t="s">
        <v>1023</v>
      </c>
      <c r="C630" s="7" t="s">
        <v>1024</v>
      </c>
      <c r="D630" s="3" t="str">
        <f ca="1">IFERROR(__xludf.DUMMYFUNCTION("GOOGLETRANSLATE(B630,""ja"",""vi"")"),"Capybara của")</f>
        <v>Capybara của</v>
      </c>
      <c r="E630" t="str">
        <f t="shared" ca="1" si="9"/>
        <v>"2084227897" : "Capybara của",</v>
      </c>
    </row>
    <row r="631" spans="1:5" ht="15.75" customHeight="1">
      <c r="A631" s="6">
        <v>2084039600</v>
      </c>
      <c r="B631" s="7" t="s">
        <v>1025</v>
      </c>
      <c r="C631" s="7" t="s">
        <v>1026</v>
      </c>
      <c r="D631" s="3" t="str">
        <f ca="1">IFERROR(__xludf.DUMMYFUNCTION("GOOGLETRANSLATE(B631,""ja"",""vi"")"),"Gachapin, Mook")</f>
        <v>Gachapin, Mook</v>
      </c>
      <c r="E631" t="str">
        <f t="shared" ca="1" si="9"/>
        <v>"2084039600" : "Gachapin, Mook",</v>
      </c>
    </row>
    <row r="632" spans="1:5" ht="15.75" customHeight="1">
      <c r="A632" s="6">
        <v>2084044857</v>
      </c>
      <c r="B632" s="7" t="s">
        <v>1027</v>
      </c>
      <c r="C632" s="7" t="s">
        <v>1028</v>
      </c>
      <c r="D632" s="3" t="str">
        <f ca="1">IFERROR(__xludf.DUMMYFUNCTION("GOOGLETRANSLATE(B632,""ja"",""vi"")"),"Kyoro-chan")</f>
        <v>Kyoro-chan</v>
      </c>
      <c r="E632" t="str">
        <f t="shared" ca="1" si="9"/>
        <v>"2084044857" : "Kyoro-chan",</v>
      </c>
    </row>
    <row r="633" spans="1:5" ht="15.75" customHeight="1">
      <c r="A633" s="6">
        <v>2084034096</v>
      </c>
      <c r="B633" s="7" t="s">
        <v>1029</v>
      </c>
      <c r="C633" s="7" t="s">
        <v>1030</v>
      </c>
      <c r="D633" s="3" t="str">
        <f ca="1">IFERROR(__xludf.DUMMYFUNCTION("GOOGLETRANSLATE(B633,""ja"",""vi"")"),"Grateful Deddobea")</f>
        <v>Grateful Deddobea</v>
      </c>
      <c r="E633" t="str">
        <f t="shared" ca="1" si="9"/>
        <v>"2084034096" : "Grateful Deddobea",</v>
      </c>
    </row>
    <row r="634" spans="1:5" ht="15.75" customHeight="1">
      <c r="A634" s="6">
        <v>2084020155</v>
      </c>
      <c r="B634" s="7" t="s">
        <v>624</v>
      </c>
      <c r="C634" s="7" t="s">
        <v>1031</v>
      </c>
      <c r="D634" s="3" t="str">
        <f ca="1">IFERROR(__xludf.DUMMYFUNCTION("GOOGLETRANSLATE(B634,""ja"",""vi"")"),"Ken Ken")</f>
        <v>Ken Ken</v>
      </c>
      <c r="E634" t="str">
        <f t="shared" ca="1" si="9"/>
        <v>"2084020155" : "Ken Ken",</v>
      </c>
    </row>
    <row r="635" spans="1:5" ht="15.75" customHeight="1">
      <c r="A635" s="6">
        <v>2084020132</v>
      </c>
      <c r="B635" s="7" t="s">
        <v>1032</v>
      </c>
      <c r="C635" s="7" t="s">
        <v>1033</v>
      </c>
      <c r="D635" s="3" t="str">
        <f ca="1">IFERROR(__xludf.DUMMYFUNCTION("GOOGLETRANSLATE(B635,""ja"",""vi"")"),"Sanrio")</f>
        <v>Sanrio</v>
      </c>
      <c r="E635" t="str">
        <f t="shared" ca="1" si="9"/>
        <v>"2084020132" : "Sanrio",</v>
      </c>
    </row>
    <row r="636" spans="1:5" ht="15.75" customHeight="1">
      <c r="A636" s="6">
        <v>2084020156</v>
      </c>
      <c r="B636" s="7" t="s">
        <v>632</v>
      </c>
      <c r="C636" s="7" t="s">
        <v>1034</v>
      </c>
      <c r="D636" s="3" t="str">
        <f ca="1">IFERROR(__xludf.DUMMYFUNCTION("GOOGLETRANSLATE(B636,""ja"",""vi"")"),"Sesame Street")</f>
        <v>Sesame Street</v>
      </c>
      <c r="E636" t="str">
        <f t="shared" ca="1" si="9"/>
        <v>"2084020156" : "Sesame Street",</v>
      </c>
    </row>
    <row r="637" spans="1:5" ht="15.75" customHeight="1">
      <c r="A637" s="6">
        <v>2084020146</v>
      </c>
      <c r="B637" s="7" t="s">
        <v>1035</v>
      </c>
      <c r="C637" s="7" t="s">
        <v>1036</v>
      </c>
      <c r="D637" s="3" t="str">
        <f ca="1">IFERROR(__xludf.DUMMYFUNCTION("GOOGLETRANSLATE(B637,""ja"",""vi"")"),"Tarepanda")</f>
        <v>Tarepanda</v>
      </c>
      <c r="E637" t="str">
        <f t="shared" ca="1" si="9"/>
        <v>"2084020146" : "Tarepanda",</v>
      </c>
    </row>
    <row r="638" spans="1:5" ht="15.75" customHeight="1">
      <c r="A638" s="6">
        <v>2084020148</v>
      </c>
      <c r="B638" s="7" t="s">
        <v>602</v>
      </c>
      <c r="C638" s="7" t="s">
        <v>1037</v>
      </c>
      <c r="D638" s="3" t="str">
        <f ca="1">IFERROR(__xludf.DUMMYFUNCTION("GOOGLETRANSLATE(B638,""ja"",""vi"")"),"My Neighbor Totoro")</f>
        <v>My Neighbor Totoro</v>
      </c>
      <c r="E638" t="str">
        <f t="shared" ca="1" si="9"/>
        <v>"2084020148" : "My Neighbor Totoro",</v>
      </c>
    </row>
    <row r="639" spans="1:5" ht="15.75" customHeight="1">
      <c r="A639" s="6">
        <v>2084044859</v>
      </c>
      <c r="B639" s="7" t="s">
        <v>604</v>
      </c>
      <c r="C639" s="7" t="s">
        <v>1038</v>
      </c>
      <c r="D639" s="3" t="str">
        <f ca="1">IFERROR(__xludf.DUMMYFUNCTION("GOOGLETRANSLATE(B639,""ja"",""vi"")"),"Dokodemoissyo")</f>
        <v>Dokodemoissyo</v>
      </c>
      <c r="E639" t="str">
        <f t="shared" ca="1" si="9"/>
        <v>"2084044859" : "Dokodemoissyo",</v>
      </c>
    </row>
    <row r="640" spans="1:5" ht="15.75" customHeight="1">
      <c r="A640" s="6">
        <v>2084020161</v>
      </c>
      <c r="B640" s="7" t="s">
        <v>636</v>
      </c>
      <c r="C640" s="7" t="s">
        <v>1039</v>
      </c>
      <c r="D640" s="3" t="str">
        <f ca="1">IFERROR(__xludf.DUMMYFUNCTION("GOOGLETRANSLATE(B640,""ja"",""vi"")"),"Teletubbies")</f>
        <v>Teletubbies</v>
      </c>
      <c r="E640" t="str">
        <f t="shared" ca="1" si="9"/>
        <v>"2084020161" : "Teletubbies",</v>
      </c>
    </row>
    <row r="641" spans="1:5" ht="15.75" customHeight="1">
      <c r="A641" s="6">
        <v>2084020108</v>
      </c>
      <c r="B641" s="7" t="s">
        <v>429</v>
      </c>
      <c r="C641" s="7" t="s">
        <v>1040</v>
      </c>
      <c r="D641" s="3" t="str">
        <f ca="1">IFERROR(__xludf.DUMMYFUNCTION("GOOGLETRANSLATE(B641,""ja"",""vi"")"),"Disney")</f>
        <v>Disney</v>
      </c>
      <c r="E641" t="str">
        <f t="shared" ca="1" si="9"/>
        <v>"2084020108" : "Disney",</v>
      </c>
    </row>
    <row r="642" spans="1:5" ht="15.75" customHeight="1">
      <c r="A642" s="6">
        <v>2084020153</v>
      </c>
      <c r="B642" s="7" t="s">
        <v>1041</v>
      </c>
      <c r="C642" s="7" t="s">
        <v>1042</v>
      </c>
      <c r="D642" s="3" t="str">
        <f ca="1">IFERROR(__xludf.DUMMYFUNCTION("GOOGLETRANSLATE(B642,""ja"",""vi"")"),"Tom &amp; Jerry")</f>
        <v>Tom &amp; Jerry</v>
      </c>
      <c r="E642" t="str">
        <f t="shared" ref="E642:E705" ca="1" si="10">CONCATENATE(CHAR(34)&amp;"",A642,""&amp;CHAR(34)," : ", CHAR(34)&amp;"",D642,""&amp;CHAR(34),",")</f>
        <v>"2084020153" : "Tom &amp; Jerry",</v>
      </c>
    </row>
    <row r="643" spans="1:5" ht="15.75" customHeight="1">
      <c r="A643" s="6">
        <v>2084020164</v>
      </c>
      <c r="B643" s="7" t="s">
        <v>643</v>
      </c>
      <c r="C643" s="7" t="s">
        <v>1043</v>
      </c>
      <c r="D643" s="3" t="str">
        <f ca="1">IFERROR(__xludf.DUMMYFUNCTION("GOOGLETRANSLATE(B643,""ja"",""vi"")"),"Doraemon")</f>
        <v>Doraemon</v>
      </c>
      <c r="E643" t="str">
        <f t="shared" ca="1" si="10"/>
        <v>"2084020164" : "Doraemon",</v>
      </c>
    </row>
    <row r="644" spans="1:5" ht="15.75" customHeight="1">
      <c r="A644" s="6">
        <v>2084310503</v>
      </c>
      <c r="B644" s="7" t="s">
        <v>445</v>
      </c>
      <c r="C644" s="7" t="s">
        <v>1044</v>
      </c>
      <c r="D644" s="3" t="str">
        <f ca="1">IFERROR(__xludf.DUMMYFUNCTION("GOOGLETRANSLATE(B644,""ja"",""vi"")"),"Natsume Yuujin Chou")</f>
        <v>Natsume Yuujin Chou</v>
      </c>
      <c r="E644" t="str">
        <f t="shared" ca="1" si="10"/>
        <v>"2084310503" : "Natsume Yuujin Chou",</v>
      </c>
    </row>
    <row r="645" spans="1:5" ht="15.75" customHeight="1">
      <c r="A645" s="6">
        <v>2084044855</v>
      </c>
      <c r="B645" s="7" t="s">
        <v>1045</v>
      </c>
      <c r="C645" s="7" t="s">
        <v>1046</v>
      </c>
      <c r="D645" s="3" t="str">
        <f ca="1">IFERROR(__xludf.DUMMYFUNCTION("GOOGLETRANSLATE(B645,""ja"",""vi"")"),"PostPet")</f>
        <v>PostPet</v>
      </c>
      <c r="E645" t="str">
        <f t="shared" ca="1" si="10"/>
        <v>"2084044855" : "PostPet",</v>
      </c>
    </row>
    <row r="646" spans="1:5" ht="15.75" customHeight="1">
      <c r="A646" s="6">
        <v>2084020174</v>
      </c>
      <c r="B646" s="7" t="s">
        <v>606</v>
      </c>
      <c r="C646" s="7" t="s">
        <v>1047</v>
      </c>
      <c r="D646" s="3" t="str">
        <f ca="1">IFERROR(__xludf.DUMMYFUNCTION("GOOGLETRANSLATE(B646,""ja"",""vi"")"),"Curious George")</f>
        <v>Curious George</v>
      </c>
      <c r="E646" t="str">
        <f t="shared" ca="1" si="10"/>
        <v>"2084020174" : "Curious George",</v>
      </c>
    </row>
    <row r="647" spans="1:5" ht="15.75" customHeight="1">
      <c r="A647" s="6">
        <v>2084020176</v>
      </c>
      <c r="B647" s="7" t="s">
        <v>647</v>
      </c>
      <c r="C647" s="7" t="s">
        <v>1048</v>
      </c>
      <c r="D647" s="3" t="str">
        <f ca="1">IFERROR(__xludf.DUMMYFUNCTION("GOOGLETRANSLATE(B647,""ja"",""vi"")"),"Barbapapa")</f>
        <v>Barbapapa</v>
      </c>
      <c r="E647" t="str">
        <f t="shared" ca="1" si="10"/>
        <v>"2084020176" : "Barbapapa",</v>
      </c>
    </row>
    <row r="648" spans="1:5" ht="15.75" customHeight="1">
      <c r="A648" s="6">
        <v>2084044852</v>
      </c>
      <c r="B648" s="7" t="s">
        <v>1049</v>
      </c>
      <c r="C648" s="7" t="s">
        <v>1050</v>
      </c>
      <c r="D648" s="3" t="str">
        <f ca="1">IFERROR(__xludf.DUMMYFUNCTION("GOOGLETRANSLATE(B648,""ja"",""vi"")"),"Bucks Bunny")</f>
        <v>Bucks Bunny</v>
      </c>
      <c r="E648" t="str">
        <f t="shared" ca="1" si="10"/>
        <v>"2084044852" : "Bucks Bunny",</v>
      </c>
    </row>
    <row r="649" spans="1:5" ht="15.75" customHeight="1">
      <c r="A649" s="6">
        <v>2084020171</v>
      </c>
      <c r="B649" s="7" t="s">
        <v>649</v>
      </c>
      <c r="C649" s="7" t="s">
        <v>1051</v>
      </c>
      <c r="D649" s="3" t="str">
        <f ca="1">IFERROR(__xludf.DUMMYFUNCTION("GOOGLETRANSLATE(B649,""ja"",""vi"")"),"Peter Rabbit")</f>
        <v>Peter Rabbit</v>
      </c>
      <c r="E649" t="str">
        <f t="shared" ca="1" si="10"/>
        <v>"2084020171" : "Peter Rabbit",</v>
      </c>
    </row>
    <row r="650" spans="1:5" ht="15.75" customHeight="1">
      <c r="A650" s="6">
        <v>25964</v>
      </c>
      <c r="B650" s="7" t="s">
        <v>651</v>
      </c>
      <c r="C650" s="7" t="s">
        <v>1052</v>
      </c>
      <c r="D650" s="3" t="str">
        <f ca="1">IFERROR(__xludf.DUMMYFUNCTION("GOOGLETRANSLATE(B650,""ja"",""vi"")"),"Đậu phộng, Snoopy")</f>
        <v>Đậu phộng, Snoopy</v>
      </c>
      <c r="E650" t="str">
        <f t="shared" ca="1" si="10"/>
        <v>"25964" : "Đậu phộng, Snoopy",</v>
      </c>
    </row>
    <row r="651" spans="1:5" ht="15.75" customHeight="1">
      <c r="A651" s="6">
        <v>2084020152</v>
      </c>
      <c r="B651" s="7" t="s">
        <v>653</v>
      </c>
      <c r="C651" s="7" t="s">
        <v>1053</v>
      </c>
      <c r="D651" s="3" t="str">
        <f ca="1">IFERROR(__xludf.DUMMYFUNCTION("GOOGLETRANSLATE(B651,""ja"",""vi"")"),"pink Panther")</f>
        <v>pink Panther</v>
      </c>
      <c r="E651" t="str">
        <f t="shared" ca="1" si="10"/>
        <v>"2084020152" : "pink Panther",</v>
      </c>
    </row>
    <row r="652" spans="1:5" ht="15.75" customHeight="1">
      <c r="A652" s="6">
        <v>2084020175</v>
      </c>
      <c r="B652" s="7" t="s">
        <v>655</v>
      </c>
      <c r="C652" s="7" t="s">
        <v>1054</v>
      </c>
      <c r="D652" s="3" t="str">
        <f ca="1">IFERROR(__xludf.DUMMYFUNCTION("GOOGLETRANSLATE(B652,""ja"",""vi"")"),"Pingu")</f>
        <v>Pingu</v>
      </c>
      <c r="E652" t="str">
        <f t="shared" ca="1" si="10"/>
        <v>"2084020175" : "Pingu",</v>
      </c>
    </row>
    <row r="653" spans="1:5" ht="15.75" customHeight="1">
      <c r="A653" s="6">
        <v>40007</v>
      </c>
      <c r="B653" s="7" t="s">
        <v>1055</v>
      </c>
      <c r="C653" s="7" t="s">
        <v>1056</v>
      </c>
      <c r="D653" s="3" t="str">
        <f ca="1">IFERROR(__xludf.DUMMYFUNCTION("GOOGLETRANSLATE(B653,""ja"",""vi"")"),"Furby")</f>
        <v>Furby</v>
      </c>
      <c r="E653" t="str">
        <f t="shared" ca="1" si="10"/>
        <v>"40007" : "Furby",</v>
      </c>
    </row>
    <row r="654" spans="1:5" ht="15.75" customHeight="1">
      <c r="A654" s="6">
        <v>2084020178</v>
      </c>
      <c r="B654" s="7" t="s">
        <v>657</v>
      </c>
      <c r="C654" s="7" t="s">
        <v>1057</v>
      </c>
      <c r="D654" s="3" t="str">
        <f ca="1">IFERROR(__xludf.DUMMYFUNCTION("GOOGLETRANSLATE(B654,""ja"",""vi"")"),"vảy mủn trên da người bịnh")</f>
        <v>vảy mủn trên da người bịnh</v>
      </c>
      <c r="E654" t="str">
        <f t="shared" ca="1" si="10"/>
        <v>"2084020178" : "vảy mủn trên da người bịnh",</v>
      </c>
    </row>
    <row r="655" spans="1:5" ht="15.75" customHeight="1">
      <c r="A655" s="6">
        <v>2084024171</v>
      </c>
      <c r="B655" s="7" t="s">
        <v>1058</v>
      </c>
      <c r="C655" s="7" t="s">
        <v>1059</v>
      </c>
      <c r="D655" s="3" t="str">
        <f ca="1">IFERROR(__xludf.DUMMYFUNCTION("GOOGLETRANSLATE(B655,""ja"",""vi"")"),"Purimopueru")</f>
        <v>Purimopueru</v>
      </c>
      <c r="E655" t="str">
        <f t="shared" ca="1" si="10"/>
        <v>"2084024171" : "Purimopueru",</v>
      </c>
    </row>
    <row r="656" spans="1:5" ht="15.75" customHeight="1">
      <c r="A656" s="6">
        <v>2084044858</v>
      </c>
      <c r="B656" s="7" t="s">
        <v>1060</v>
      </c>
      <c r="C656" s="7" t="s">
        <v>1061</v>
      </c>
      <c r="D656" s="3" t="str">
        <f ca="1">IFERROR(__xludf.DUMMYFUNCTION("GOOGLETRANSLATE(B656,""ja"",""vi"")"),"Peko-chan")</f>
        <v>Peko-chan</v>
      </c>
      <c r="E656" t="str">
        <f t="shared" ca="1" si="10"/>
        <v>"2084044858" : "Peko-chan",</v>
      </c>
    </row>
    <row r="657" spans="1:5" ht="15.75" customHeight="1">
      <c r="A657" s="6">
        <v>2084020179</v>
      </c>
      <c r="B657" s="7" t="s">
        <v>663</v>
      </c>
      <c r="C657" s="7" t="s">
        <v>1062</v>
      </c>
      <c r="D657" s="3" t="str">
        <f ca="1">IFERROR(__xludf.DUMMYFUNCTION("GOOGLETRANSLATE(B657,""ja"",""vi"")"),"Pokemon")</f>
        <v>Pokemon</v>
      </c>
      <c r="E657" t="str">
        <f t="shared" ca="1" si="10"/>
        <v>"2084020179" : "Pokemon",</v>
      </c>
    </row>
    <row r="658" spans="1:5" ht="15.75" customHeight="1">
      <c r="A658" s="6">
        <v>2084044847</v>
      </c>
      <c r="B658" s="7" t="s">
        <v>1063</v>
      </c>
      <c r="C658" s="7" t="s">
        <v>1064</v>
      </c>
      <c r="D658" s="3" t="str">
        <f ca="1">IFERROR(__xludf.DUMMYFUNCTION("GOOGLETRANSLATE(B658,""ja"",""vi"")"),"Gà Ramen gà")</f>
        <v>Gà Ramen gà</v>
      </c>
      <c r="E658" t="str">
        <f t="shared" ca="1" si="10"/>
        <v>"2084044847" : "Gà Ramen gà",</v>
      </c>
    </row>
    <row r="659" spans="1:5" ht="15.75" customHeight="1">
      <c r="A659" s="6">
        <v>2084020172</v>
      </c>
      <c r="B659" s="7" t="s">
        <v>667</v>
      </c>
      <c r="C659" s="7" t="s">
        <v>1065</v>
      </c>
      <c r="D659" s="3" t="str">
        <f ca="1">IFERROR(__xludf.DUMMYFUNCTION("GOOGLETRANSLATE(B659,""ja"",""vi"")"),"Miffy")</f>
        <v>Miffy</v>
      </c>
      <c r="E659" t="str">
        <f t="shared" ca="1" si="10"/>
        <v>"2084020172" : "Miffy",</v>
      </c>
    </row>
    <row r="660" spans="1:5" ht="15.75" customHeight="1">
      <c r="A660" s="6">
        <v>2084020166</v>
      </c>
      <c r="B660" s="7" t="s">
        <v>669</v>
      </c>
      <c r="C660" s="7" t="s">
        <v>1066</v>
      </c>
      <c r="D660" s="3" t="str">
        <f ca="1">IFERROR(__xludf.DUMMYFUNCTION("GOOGLETRANSLATE(B660,""ja"",""vi"")"),"Moomin")</f>
        <v>Moomin</v>
      </c>
      <c r="E660" t="str">
        <f t="shared" ca="1" si="10"/>
        <v>"2084020166" : "Moomin",</v>
      </c>
    </row>
    <row r="661" spans="1:5" ht="15.75" customHeight="1">
      <c r="A661" s="6">
        <v>2084060488</v>
      </c>
      <c r="B661" s="7" t="s">
        <v>1067</v>
      </c>
      <c r="C661" s="7" t="s">
        <v>1068</v>
      </c>
      <c r="D661" s="3" t="str">
        <f ca="1">IFERROR(__xludf.DUMMYFUNCTION("GOOGLETRANSLATE(B661,""ja"",""vi"")"),"thư giãn")</f>
        <v>thư giãn</v>
      </c>
      <c r="E661" t="str">
        <f t="shared" ca="1" si="10"/>
        <v>"2084060488" : "thư giãn",</v>
      </c>
    </row>
    <row r="662" spans="1:5" ht="15.75" customHeight="1">
      <c r="A662" s="6">
        <v>2084020181</v>
      </c>
      <c r="B662" s="7" t="s">
        <v>105</v>
      </c>
      <c r="C662" s="7" t="s">
        <v>1069</v>
      </c>
      <c r="D662" s="3" t="str">
        <f ca="1">IFERROR(__xludf.DUMMYFUNCTION("GOOGLETRANSLATE(B662,""ja"",""vi"")"),"nếu không thì")</f>
        <v>nếu không thì</v>
      </c>
      <c r="E662" t="str">
        <f t="shared" ca="1" si="10"/>
        <v>"2084020181" : "nếu không thì",</v>
      </c>
    </row>
    <row r="663" spans="1:5" ht="15.75" customHeight="1">
      <c r="A663" s="6">
        <v>2084310507</v>
      </c>
      <c r="B663" s="7" t="s">
        <v>1070</v>
      </c>
      <c r="C663" s="7" t="s">
        <v>1071</v>
      </c>
      <c r="D663" s="3" t="str">
        <f ca="1">IFERROR(__xludf.DUMMYFUNCTION("GOOGLETRANSLATE(B663,""ja"",""vi"")"),"vải ba ga")</f>
        <v>vải ba ga</v>
      </c>
      <c r="E663" t="str">
        <f t="shared" ca="1" si="10"/>
        <v>"2084310507" : "vải ba ga",</v>
      </c>
    </row>
    <row r="664" spans="1:5" ht="15.75" customHeight="1">
      <c r="A664" s="6">
        <v>2084020075</v>
      </c>
      <c r="B664" s="7" t="s">
        <v>1072</v>
      </c>
      <c r="C664" s="7" t="s">
        <v>1073</v>
      </c>
      <c r="D664" s="3" t="str">
        <f ca="1">IFERROR(__xludf.DUMMYFUNCTION("GOOGLETRANSLATE(B664,""ja"",""vi"")"),"Con chó")</f>
        <v>Con chó</v>
      </c>
      <c r="E664" t="str">
        <f t="shared" ca="1" si="10"/>
        <v>"2084020075" : "Con chó",</v>
      </c>
    </row>
    <row r="665" spans="1:5" ht="15.75" customHeight="1">
      <c r="A665" s="6">
        <v>2084020067</v>
      </c>
      <c r="B665" s="7" t="s">
        <v>1074</v>
      </c>
      <c r="C665" s="7" t="s">
        <v>1075</v>
      </c>
      <c r="D665" s="3" t="str">
        <f ca="1">IFERROR(__xludf.DUMMYFUNCTION("GOOGLETRANSLATE(B665,""ja"",""vi"")"),"thỏ")</f>
        <v>thỏ</v>
      </c>
      <c r="E665" t="str">
        <f t="shared" ca="1" si="10"/>
        <v>"2084020067" : "thỏ",</v>
      </c>
    </row>
    <row r="666" spans="1:5" ht="15.75" customHeight="1">
      <c r="A666" s="6">
        <v>2084020081</v>
      </c>
      <c r="B666" s="7" t="s">
        <v>1076</v>
      </c>
      <c r="C666" s="7" t="s">
        <v>1077</v>
      </c>
      <c r="D666" s="3" t="str">
        <f ca="1">IFERROR(__xludf.DUMMYFUNCTION("GOOGLETRANSLATE(B666,""ja"",""vi"")"),"gia súc")</f>
        <v>gia súc</v>
      </c>
      <c r="E666" t="str">
        <f t="shared" ca="1" si="10"/>
        <v>"2084020081" : "gia súc",</v>
      </c>
    </row>
    <row r="667" spans="1:5" ht="15.75" customHeight="1">
      <c r="A667" s="6">
        <v>2084020082</v>
      </c>
      <c r="B667" s="7" t="s">
        <v>1078</v>
      </c>
      <c r="C667" s="7" t="s">
        <v>1079</v>
      </c>
      <c r="D667" s="3" t="str">
        <f ca="1">IFERROR(__xludf.DUMMYFUNCTION("GOOGLETRANSLATE(B667,""ja"",""vi"")"),"ngựa")</f>
        <v>ngựa</v>
      </c>
      <c r="E667" t="str">
        <f t="shared" ca="1" si="10"/>
        <v>"2084020082" : "ngựa",</v>
      </c>
    </row>
    <row r="668" spans="1:5" ht="15.75" customHeight="1">
      <c r="A668" s="6">
        <v>2084039697</v>
      </c>
      <c r="B668" s="7" t="s">
        <v>1080</v>
      </c>
      <c r="C668" s="7" t="s">
        <v>1081</v>
      </c>
      <c r="D668" s="3" t="str">
        <f ca="1">IFERROR(__xludf.DUMMYFUNCTION("GOOGLETRANSLATE(B668,""ja"",""vi"")"),"con ếch")</f>
        <v>con ếch</v>
      </c>
      <c r="E668" t="str">
        <f t="shared" ca="1" si="10"/>
        <v>"2084039697" : "con ếch",</v>
      </c>
    </row>
    <row r="669" spans="1:5" ht="15.75" customHeight="1">
      <c r="A669" s="6">
        <v>2084020084</v>
      </c>
      <c r="B669" s="7" t="s">
        <v>1082</v>
      </c>
      <c r="C669" s="7" t="s">
        <v>1083</v>
      </c>
      <c r="D669" s="3" t="str">
        <f ca="1">IFERROR(__xludf.DUMMYFUNCTION("GOOGLETRANSLATE(B669,""ja"",""vi"")"),"Kirin")</f>
        <v>Kirin</v>
      </c>
      <c r="E669" t="str">
        <f t="shared" ca="1" si="10"/>
        <v>"2084020084" : "Kirin",</v>
      </c>
    </row>
    <row r="670" spans="1:5" ht="15.75" customHeight="1">
      <c r="A670" s="6">
        <v>2084020069</v>
      </c>
      <c r="B670" s="7" t="s">
        <v>1084</v>
      </c>
      <c r="C670" s="7" t="s">
        <v>1085</v>
      </c>
      <c r="D670" s="3" t="str">
        <f ca="1">IFERROR(__xludf.DUMMYFUNCTION("GOOGLETRANSLATE(B670,""ja"",""vi"")"),"gấu")</f>
        <v>gấu</v>
      </c>
      <c r="E670" t="str">
        <f t="shared" ca="1" si="10"/>
        <v>"2084020069" : "gấu",</v>
      </c>
    </row>
    <row r="671" spans="1:5" ht="15.75" customHeight="1">
      <c r="A671" s="6">
        <v>2084020085</v>
      </c>
      <c r="B671" s="7" t="s">
        <v>1086</v>
      </c>
      <c r="C671" s="7" t="s">
        <v>1087</v>
      </c>
      <c r="D671" s="3" t="str">
        <f ca="1">IFERROR(__xludf.DUMMYFUNCTION("GOOGLETRANSLATE(B671,""ja"",""vi"")"),"Koala")</f>
        <v>Koala</v>
      </c>
      <c r="E671" t="str">
        <f t="shared" ca="1" si="10"/>
        <v>"2084020085" : "Koala",</v>
      </c>
    </row>
    <row r="672" spans="1:5" ht="15.75" customHeight="1">
      <c r="A672" s="6">
        <v>2084020077</v>
      </c>
      <c r="B672" s="7" t="s">
        <v>1088</v>
      </c>
      <c r="C672" s="7" t="s">
        <v>1089</v>
      </c>
      <c r="D672" s="3" t="str">
        <f ca="1">IFERROR(__xludf.DUMMYFUNCTION("GOOGLETRANSLATE(B672,""ja"",""vi"")"),"con khỉ")</f>
        <v>con khỉ</v>
      </c>
      <c r="E672" t="str">
        <f t="shared" ca="1" si="10"/>
        <v>"2084020077" : "con khỉ",</v>
      </c>
    </row>
    <row r="673" spans="1:5" ht="15.75" customHeight="1">
      <c r="A673" s="6">
        <v>2084020073</v>
      </c>
      <c r="B673" s="7" t="s">
        <v>1090</v>
      </c>
      <c r="C673" s="7" t="s">
        <v>1091</v>
      </c>
      <c r="D673" s="3" t="str">
        <f ca="1">IFERROR(__xludf.DUMMYFUNCTION("GOOGLETRANSLATE(B673,""ja"",""vi"")"),"voi")</f>
        <v>voi</v>
      </c>
      <c r="E673" t="str">
        <f t="shared" ca="1" si="10"/>
        <v>"2084020073" : "voi",</v>
      </c>
    </row>
    <row r="674" spans="1:5" ht="15.75" customHeight="1">
      <c r="A674" s="6">
        <v>2084020088</v>
      </c>
      <c r="B674" s="7" t="s">
        <v>1092</v>
      </c>
      <c r="C674" s="7" t="s">
        <v>1093</v>
      </c>
      <c r="D674" s="3" t="str">
        <f ca="1">IFERROR(__xludf.DUMMYFUNCTION("GOOGLETRANSLATE(B674,""ja"",""vi"")"),"cọp")</f>
        <v>cọp</v>
      </c>
      <c r="E674" t="str">
        <f t="shared" ca="1" si="10"/>
        <v>"2084020088" : "cọp",</v>
      </c>
    </row>
    <row r="675" spans="1:5" ht="15.75" customHeight="1">
      <c r="A675" s="6">
        <v>2084020079</v>
      </c>
      <c r="B675" s="7" t="s">
        <v>1094</v>
      </c>
      <c r="C675" s="7" t="s">
        <v>1095</v>
      </c>
      <c r="D675" s="3" t="str">
        <f ca="1">IFERROR(__xludf.DUMMYFUNCTION("GOOGLETRANSLATE(B675,""ja"",""vi"")"),"con mèo")</f>
        <v>con mèo</v>
      </c>
      <c r="E675" t="str">
        <f t="shared" ca="1" si="10"/>
        <v>"2084020079" : "con mèo",</v>
      </c>
    </row>
    <row r="676" spans="1:5" ht="15.75" customHeight="1">
      <c r="A676" s="6">
        <v>2084020089</v>
      </c>
      <c r="B676" s="7" t="s">
        <v>1096</v>
      </c>
      <c r="C676" s="7" t="s">
        <v>1097</v>
      </c>
      <c r="D676" s="3" t="str">
        <f ca="1">IFERROR(__xludf.DUMMYFUNCTION("GOOGLETRANSLATE(B676,""ja"",""vi"")"),"Một con chuột")</f>
        <v>Một con chuột</v>
      </c>
      <c r="E676" t="str">
        <f t="shared" ca="1" si="10"/>
        <v>"2084020089" : "Một con chuột",</v>
      </c>
    </row>
    <row r="677" spans="1:5" ht="15.75" customHeight="1">
      <c r="A677" s="6">
        <v>2084039598</v>
      </c>
      <c r="B677" s="7" t="s">
        <v>1098</v>
      </c>
      <c r="C677" s="7" t="s">
        <v>1099</v>
      </c>
      <c r="D677" s="3" t="str">
        <f ca="1">IFERROR(__xludf.DUMMYFUNCTION("GOOGLETRANSLATE(B677,""ja"",""vi"")"),"Chick, chim")</f>
        <v>Chick, chim</v>
      </c>
      <c r="E677" t="str">
        <f t="shared" ca="1" si="10"/>
        <v>"2084039598" : "Chick, chim",</v>
      </c>
    </row>
    <row r="678" spans="1:5" ht="15.75" customHeight="1">
      <c r="A678" s="6">
        <v>2084020071</v>
      </c>
      <c r="B678" s="7" t="s">
        <v>1100</v>
      </c>
      <c r="C678" s="7" t="s">
        <v>1101</v>
      </c>
      <c r="D678" s="3" t="str">
        <f ca="1">IFERROR(__xludf.DUMMYFUNCTION("GOOGLETRANSLATE(B678,""ja"",""vi"")"),"Panda")</f>
        <v>Panda</v>
      </c>
      <c r="E678" t="str">
        <f t="shared" ca="1" si="10"/>
        <v>"2084020071" : "Panda",</v>
      </c>
    </row>
    <row r="679" spans="1:5" ht="15.75" customHeight="1">
      <c r="A679" s="6">
        <v>2084020091</v>
      </c>
      <c r="B679" s="7" t="s">
        <v>1102</v>
      </c>
      <c r="C679" s="7" t="s">
        <v>1103</v>
      </c>
      <c r="D679" s="3" t="str">
        <f ca="1">IFERROR(__xludf.DUMMYFUNCTION("GOOGLETRANSLATE(B679,""ja"",""vi"")"),"con cừu")</f>
        <v>con cừu</v>
      </c>
      <c r="E679" t="str">
        <f t="shared" ca="1" si="10"/>
        <v>"2084020091" : "con cừu",</v>
      </c>
    </row>
    <row r="680" spans="1:5" ht="15.75" customHeight="1">
      <c r="A680" s="6">
        <v>2084020093</v>
      </c>
      <c r="B680" s="7" t="s">
        <v>1104</v>
      </c>
      <c r="C680" s="7" t="s">
        <v>1105</v>
      </c>
      <c r="D680" s="3" t="str">
        <f ca="1">IFERROR(__xludf.DUMMYFUNCTION("GOOGLETRANSLATE(B680,""ja"",""vi"")"),"lợn")</f>
        <v>lợn</v>
      </c>
      <c r="E680" t="str">
        <f t="shared" ca="1" si="10"/>
        <v>"2084020093" : "lợn",</v>
      </c>
    </row>
    <row r="681" spans="1:5" ht="15.75" customHeight="1">
      <c r="A681" s="6">
        <v>2084039596</v>
      </c>
      <c r="B681" s="7" t="s">
        <v>1106</v>
      </c>
      <c r="C681" s="7" t="s">
        <v>1107</v>
      </c>
      <c r="D681" s="3" t="str">
        <f ca="1">IFERROR(__xludf.DUMMYFUNCTION("GOOGLETRANSLATE(B681,""ja"",""vi"")"),"Penguin")</f>
        <v>Penguin</v>
      </c>
      <c r="E681" t="str">
        <f t="shared" ca="1" si="10"/>
        <v>"2084039596" : "Penguin",</v>
      </c>
    </row>
    <row r="682" spans="1:5" ht="15.75" customHeight="1">
      <c r="A682" s="6">
        <v>2084020095</v>
      </c>
      <c r="B682" s="7" t="s">
        <v>1108</v>
      </c>
      <c r="C682" s="7" t="s">
        <v>1109</v>
      </c>
      <c r="D682" s="3" t="str">
        <f ca="1">IFERROR(__xludf.DUMMYFUNCTION("GOOGLETRANSLATE(B682,""ja"",""vi"")"),"sư tử")</f>
        <v>sư tử</v>
      </c>
      <c r="E682" t="str">
        <f t="shared" ca="1" si="10"/>
        <v>"2084020095" : "sư tử",</v>
      </c>
    </row>
    <row r="683" spans="1:5" ht="15.75" customHeight="1">
      <c r="A683" s="6">
        <v>2084020098</v>
      </c>
      <c r="B683" s="7" t="s">
        <v>1110</v>
      </c>
      <c r="C683" s="7" t="s">
        <v>1111</v>
      </c>
      <c r="D683" s="3" t="str">
        <f ca="1">IFERROR(__xludf.DUMMYFUNCTION("GOOGLETRANSLATE(B683,""ja"",""vi"")"),"con sóc")</f>
        <v>con sóc</v>
      </c>
      <c r="E683" t="str">
        <f t="shared" ca="1" si="10"/>
        <v>"2084020098" : "con sóc",</v>
      </c>
    </row>
    <row r="684" spans="1:5" ht="15.75" customHeight="1">
      <c r="A684" s="6">
        <v>2084020099</v>
      </c>
      <c r="B684" s="7" t="s">
        <v>105</v>
      </c>
      <c r="C684" s="7" t="s">
        <v>1112</v>
      </c>
      <c r="D684" s="3" t="str">
        <f ca="1">IFERROR(__xludf.DUMMYFUNCTION("GOOGLETRANSLATE(B684,""ja"",""vi"")"),"nếu không thì")</f>
        <v>nếu không thì</v>
      </c>
      <c r="E684" t="str">
        <f t="shared" ca="1" si="10"/>
        <v>"2084020099" : "nếu không thì",</v>
      </c>
    </row>
    <row r="685" spans="1:5" ht="15.75" customHeight="1">
      <c r="A685" s="6">
        <v>2084062134</v>
      </c>
      <c r="B685" s="7" t="s">
        <v>1113</v>
      </c>
      <c r="C685" s="7" t="s">
        <v>1114</v>
      </c>
      <c r="D685" s="3" t="str">
        <f ca="1">IFERROR(__xludf.DUMMYFUNCTION("GOOGLETRANSLATE(B685,""ja"",""vi"")"),"cosplay trang phục")</f>
        <v>cosplay trang phục</v>
      </c>
      <c r="E685" t="str">
        <f t="shared" ca="1" si="10"/>
        <v>"2084062134" : "cosplay trang phục",</v>
      </c>
    </row>
    <row r="686" spans="1:5" ht="15.75" customHeight="1">
      <c r="A686" s="6">
        <v>2084000109</v>
      </c>
      <c r="B686" s="7" t="s">
        <v>1115</v>
      </c>
      <c r="C686" s="7" t="s">
        <v>1116</v>
      </c>
      <c r="D686" s="3" t="str">
        <f ca="1">IFERROR(__xludf.DUMMYFUNCTION("GOOGLETRANSLATE(B686,""ja"",""vi"")"),"bằng cách làm việc")</f>
        <v>bằng cách làm việc</v>
      </c>
      <c r="E686" t="str">
        <f t="shared" ca="1" si="10"/>
        <v>"2084000109" : "bằng cách làm việc",</v>
      </c>
    </row>
    <row r="687" spans="1:5" ht="15.75" customHeight="1">
      <c r="A687" s="6">
        <v>2084050909</v>
      </c>
      <c r="B687" s="7" t="s">
        <v>1117</v>
      </c>
      <c r="C687" s="7" t="s">
        <v>1118</v>
      </c>
      <c r="D687" s="3" t="str">
        <f ca="1">IFERROR(__xludf.DUMMYFUNCTION("GOOGLETRANSLATE(B687,""ja"",""vi"")"),"Đăng nhập, hình ảnh chữ ký")</f>
        <v>Đăng nhập, hình ảnh chữ ký</v>
      </c>
      <c r="E687" t="str">
        <f t="shared" ca="1" si="10"/>
        <v>"2084050909" : "Đăng nhập, hình ảnh chữ ký",</v>
      </c>
    </row>
    <row r="688" spans="1:5" ht="15.75" customHeight="1">
      <c r="A688" s="6">
        <v>2084313425</v>
      </c>
      <c r="B688" s="7" t="s">
        <v>1119</v>
      </c>
      <c r="C688" s="7" t="s">
        <v>1120</v>
      </c>
      <c r="D688" s="3" t="str">
        <f ca="1">IFERROR(__xludf.DUMMYFUNCTION("GOOGLETRANSLATE(B688,""ja"",""vi"")"),"minh họa vẽ tay")</f>
        <v>minh họa vẽ tay</v>
      </c>
      <c r="E688" t="str">
        <f t="shared" ca="1" si="10"/>
        <v>"2084313425" : "minh họa vẽ tay",</v>
      </c>
    </row>
    <row r="689" spans="1:5" ht="15.75" customHeight="1">
      <c r="A689" s="6">
        <v>2084313426</v>
      </c>
      <c r="B689" s="7" t="s">
        <v>1121</v>
      </c>
      <c r="C689" s="7" t="s">
        <v>1122</v>
      </c>
      <c r="D689" s="3" t="str">
        <f ca="1">IFERROR(__xludf.DUMMYFUNCTION("GOOGLETRANSLATE(B689,""ja"",""vi"")"),"rõ ràng file")</f>
        <v>rõ ràng file</v>
      </c>
      <c r="E689" t="str">
        <f t="shared" ca="1" si="10"/>
        <v>"2084313426" : "rõ ràng file",</v>
      </c>
    </row>
    <row r="690" spans="1:5" ht="15.75" customHeight="1">
      <c r="A690" s="6">
        <v>2084313427</v>
      </c>
      <c r="B690" s="7" t="s">
        <v>1123</v>
      </c>
      <c r="C690" s="7" t="s">
        <v>1124</v>
      </c>
      <c r="D690" s="3" t="str">
        <f ca="1">IFERROR(__xludf.DUMMYFUNCTION("GOOGLETRANSLATE(B690,""ja"",""vi"")"),"huy hiệu")</f>
        <v>huy hiệu</v>
      </c>
      <c r="E690" t="str">
        <f t="shared" ca="1" si="10"/>
        <v>"2084313427" : "huy hiệu",</v>
      </c>
    </row>
    <row r="691" spans="1:5" ht="15.75" customHeight="1">
      <c r="A691" s="6">
        <v>2084313428</v>
      </c>
      <c r="B691" s="7" t="s">
        <v>1125</v>
      </c>
      <c r="C691" s="7" t="s">
        <v>1126</v>
      </c>
      <c r="D691" s="3" t="str">
        <f ca="1">IFERROR(__xludf.DUMMYFUNCTION("GOOGLETRANSLATE(B691,""ja"",""vi"")"),"thảm thêu")</f>
        <v>thảm thêu</v>
      </c>
      <c r="E691" t="str">
        <f t="shared" ca="1" si="10"/>
        <v>"2084313428" : "thảm thêu",</v>
      </c>
    </row>
    <row r="692" spans="1:5" ht="15.75" customHeight="1">
      <c r="A692" s="6">
        <v>2084313429</v>
      </c>
      <c r="B692" s="7" t="s">
        <v>1127</v>
      </c>
      <c r="C692" s="7" t="s">
        <v>1128</v>
      </c>
      <c r="D692" s="3" t="str">
        <f ca="1">IFERROR(__xludf.DUMMYFUNCTION("GOOGLETRANSLATE(B692,""ja"",""vi"")"),"khăn tắm")</f>
        <v>khăn tắm</v>
      </c>
      <c r="E692" t="str">
        <f t="shared" ca="1" si="10"/>
        <v>"2084313429" : "khăn tắm",</v>
      </c>
    </row>
    <row r="693" spans="1:5" ht="15.75" customHeight="1">
      <c r="A693" s="6">
        <v>2084006021</v>
      </c>
      <c r="B693" s="7" t="s">
        <v>1129</v>
      </c>
      <c r="C693" s="7" t="s">
        <v>1130</v>
      </c>
      <c r="D693" s="3" t="str">
        <f ca="1">IFERROR(__xludf.DUMMYFUNCTION("GOOGLETRANSLATE(B693,""ja"",""vi"")"),"keo")</f>
        <v>keo</v>
      </c>
      <c r="E693" t="str">
        <f t="shared" ca="1" si="10"/>
        <v>"2084006021" : "keo",</v>
      </c>
    </row>
    <row r="694" spans="1:5" ht="15.75" customHeight="1">
      <c r="A694" s="6">
        <v>2084037544</v>
      </c>
      <c r="B694" s="7" t="s">
        <v>1131</v>
      </c>
      <c r="C694" s="7" t="s">
        <v>1132</v>
      </c>
      <c r="D694" s="3" t="str">
        <f ca="1">IFERROR(__xludf.DUMMYFUNCTION("GOOGLETRANSLATE(B694,""ja"",""vi"")"),"key Chains")</f>
        <v>key Chains</v>
      </c>
      <c r="E694" t="str">
        <f t="shared" ca="1" si="10"/>
        <v>"2084037544" : "key Chains",</v>
      </c>
    </row>
    <row r="695" spans="1:5" ht="15.75" customHeight="1">
      <c r="A695" s="6">
        <v>2084005356</v>
      </c>
      <c r="B695" s="7" t="s">
        <v>1133</v>
      </c>
      <c r="C695" s="7" t="s">
        <v>1134</v>
      </c>
      <c r="D695" s="3" t="str">
        <f ca="1">IFERROR(__xludf.DUMMYFUNCTION("GOOGLETRANSLATE(B695,""ja"",""vi"")"),"Cel")</f>
        <v>Cel</v>
      </c>
      <c r="E695" t="str">
        <f t="shared" ca="1" si="10"/>
        <v>"2084005356" : "Cel",</v>
      </c>
    </row>
    <row r="696" spans="1:5" ht="15.75" customHeight="1">
      <c r="A696" s="6">
        <v>2084297891</v>
      </c>
      <c r="B696" s="7" t="s">
        <v>1135</v>
      </c>
      <c r="C696" s="7" t="s">
        <v>1136</v>
      </c>
      <c r="D696" s="3" t="str">
        <f ca="1">IFERROR(__xludf.DUMMYFUNCTION("GOOGLETRANSLATE(B696,""ja"",""vi"")"),"cái gối")</f>
        <v>cái gối</v>
      </c>
      <c r="E696" t="str">
        <f t="shared" ca="1" si="10"/>
        <v>"2084297891" : "cái gối",</v>
      </c>
    </row>
    <row r="697" spans="1:5" ht="15.75" customHeight="1">
      <c r="A697" s="6">
        <v>25888</v>
      </c>
      <c r="B697" s="7" t="s">
        <v>1137</v>
      </c>
      <c r="C697" s="7" t="s">
        <v>1138</v>
      </c>
      <c r="D697" s="3" t="str">
        <f ca="1">IFERROR(__xludf.DUMMYFUNCTION("GOOGLETRANSLATE(B697,""ja"",""vi"")"),"nhân vật")</f>
        <v>nhân vật</v>
      </c>
      <c r="E697" t="str">
        <f t="shared" ca="1" si="10"/>
        <v>"25888" : "nhân vật",</v>
      </c>
    </row>
    <row r="698" spans="1:5" ht="15.75" customHeight="1">
      <c r="A698" s="6">
        <v>2084250334</v>
      </c>
      <c r="B698" s="7" t="s">
        <v>1139</v>
      </c>
      <c r="C698" s="7" t="s">
        <v>1140</v>
      </c>
      <c r="D698" s="3" t="str">
        <f ca="1">IFERROR(__xludf.DUMMYFUNCTION("GOOGLETRANSLATE(B698,""ja"",""vi"")"),"nhựa")</f>
        <v>nhựa</v>
      </c>
      <c r="E698" t="str">
        <f t="shared" ca="1" si="10"/>
        <v>"2084250334" : "nhựa",</v>
      </c>
    </row>
    <row r="699" spans="1:5" ht="15.75" customHeight="1">
      <c r="A699" s="6">
        <v>21636</v>
      </c>
      <c r="B699" s="7" t="s">
        <v>1141</v>
      </c>
      <c r="C699" s="7" t="s">
        <v>1142</v>
      </c>
      <c r="D699" s="3" t="str">
        <f ca="1">IFERROR(__xludf.DUMMYFUNCTION("GOOGLETRANSLATE(B699,""ja"",""vi"")"),"truyện tranh")</f>
        <v>truyện tranh</v>
      </c>
      <c r="E699" t="str">
        <f t="shared" ca="1" si="10"/>
        <v>"21636" : "truyện tranh",</v>
      </c>
    </row>
    <row r="700" spans="1:5" ht="15.75" customHeight="1">
      <c r="A700" s="6">
        <v>21976</v>
      </c>
      <c r="B700" s="7" t="s">
        <v>1143</v>
      </c>
      <c r="C700" s="7" t="s">
        <v>1144</v>
      </c>
      <c r="D700" s="3" t="str">
        <f ca="1">IFERROR(__xludf.DUMMYFUNCTION("GOOGLETRANSLATE(B700,""ja"",""vi"")"),"DVD")</f>
        <v>DVD</v>
      </c>
      <c r="E700" t="str">
        <f t="shared" ca="1" si="10"/>
        <v>"21976" : "DVD",</v>
      </c>
    </row>
    <row r="701" spans="1:5" ht="15.75" customHeight="1">
      <c r="A701" s="6">
        <v>22080</v>
      </c>
      <c r="B701" s="7" t="s">
        <v>1145</v>
      </c>
      <c r="C701" s="7" t="s">
        <v>1146</v>
      </c>
      <c r="D701" s="3" t="str">
        <f ca="1">IFERROR(__xludf.DUMMYFUNCTION("GOOGLETRANSLATE(B701,""ja"",""vi"")"),"video")</f>
        <v>video</v>
      </c>
      <c r="E701" t="str">
        <f t="shared" ca="1" si="10"/>
        <v>"22080" : "video",</v>
      </c>
    </row>
    <row r="702" spans="1:5" ht="15.75" customHeight="1">
      <c r="A702" s="6">
        <v>22028</v>
      </c>
      <c r="B702" s="7" t="s">
        <v>1147</v>
      </c>
      <c r="C702" s="7" t="s">
        <v>1148</v>
      </c>
      <c r="D702" s="3" t="str">
        <f ca="1">IFERROR(__xludf.DUMMYFUNCTION("GOOGLETRANSLATE(B702,""ja"",""vi"")"),"đĩa Laser")</f>
        <v>đĩa Laser</v>
      </c>
      <c r="E702" t="str">
        <f t="shared" ca="1" si="10"/>
        <v>"22028" : "đĩa Laser",</v>
      </c>
    </row>
    <row r="703" spans="1:5" ht="15.75" customHeight="1">
      <c r="A703" s="6">
        <v>2084041458</v>
      </c>
      <c r="B703" s="7" t="s">
        <v>1149</v>
      </c>
      <c r="C703" s="7" t="s">
        <v>1150</v>
      </c>
      <c r="D703" s="3" t="str">
        <f ca="1">IFERROR(__xludf.DUMMYFUNCTION("GOOGLETRANSLATE(B703,""ja"",""vi"")"),"VCD")</f>
        <v>VCD</v>
      </c>
      <c r="E703" t="str">
        <f t="shared" ca="1" si="10"/>
        <v>"2084041458" : "VCD",</v>
      </c>
    </row>
    <row r="704" spans="1:5" ht="15.75" customHeight="1">
      <c r="A704" s="6">
        <v>2084005149</v>
      </c>
      <c r="B704" s="7" t="s">
        <v>1151</v>
      </c>
      <c r="C704" s="7" t="s">
        <v>1152</v>
      </c>
      <c r="D704" s="3" t="str">
        <f ca="1">IFERROR(__xludf.DUMMYFUNCTION("GOOGLETRANSLATE(B704,""ja"",""vi"")"),"audio CD")</f>
        <v>audio CD</v>
      </c>
      <c r="E704" t="str">
        <f t="shared" ca="1" si="10"/>
        <v>"2084005149" : "audio CD",</v>
      </c>
    </row>
    <row r="705" spans="1:5" ht="15.75" customHeight="1">
      <c r="A705" s="6">
        <v>2084007037</v>
      </c>
      <c r="B705" s="7" t="s">
        <v>1153</v>
      </c>
      <c r="C705" s="7" t="s">
        <v>1154</v>
      </c>
      <c r="D705" s="3" t="str">
        <f ca="1">IFERROR(__xludf.DUMMYFUNCTION("GOOGLETRANSLATE(B705,""ja"",""vi"")"),"kỷ lục")</f>
        <v>kỷ lục</v>
      </c>
      <c r="E705" t="str">
        <f t="shared" ca="1" si="10"/>
        <v>"2084007037" : "kỷ lục",</v>
      </c>
    </row>
    <row r="706" spans="1:5" ht="15.75" customHeight="1">
      <c r="A706" s="6">
        <v>2084006987</v>
      </c>
      <c r="B706" s="7" t="s">
        <v>1155</v>
      </c>
      <c r="C706" s="7" t="s">
        <v>1156</v>
      </c>
      <c r="D706" s="3" t="str">
        <f ca="1">IFERROR(__xludf.DUMMYFUNCTION("GOOGLETRANSLATE(B706,""ja"",""vi"")"),"băng cassette")</f>
        <v>băng cassette</v>
      </c>
      <c r="E706" t="str">
        <f t="shared" ref="E706:E769" ca="1" si="11">CONCATENATE(CHAR(34)&amp;"",A706,""&amp;CHAR(34)," : ", CHAR(34)&amp;"",D706,""&amp;CHAR(34),",")</f>
        <v>"2084006987" : "băng cassette",</v>
      </c>
    </row>
    <row r="707" spans="1:5" ht="15.75" customHeight="1">
      <c r="A707" s="6">
        <v>2084006158</v>
      </c>
      <c r="B707" s="7" t="s">
        <v>1157</v>
      </c>
      <c r="C707" s="7" t="s">
        <v>1158</v>
      </c>
      <c r="D707" s="3" t="str">
        <f ca="1">IFERROR(__xludf.DUMMYFUNCTION("GOOGLETRANSLATE(B707,""ja"",""vi"")"),"lịch")</f>
        <v>lịch</v>
      </c>
      <c r="E707" t="str">
        <f t="shared" ca="1" si="11"/>
        <v>"2084006158" : "lịch",</v>
      </c>
    </row>
    <row r="708" spans="1:5" ht="15.75" customHeight="1">
      <c r="A708" s="6">
        <v>21020</v>
      </c>
      <c r="B708" s="7" t="s">
        <v>1159</v>
      </c>
      <c r="C708" s="7" t="s">
        <v>1160</v>
      </c>
      <c r="D708" s="3" t="str">
        <f ca="1">IFERROR(__xludf.DUMMYFUNCTION("GOOGLETRANSLATE(B708,""ja"",""vi"")"),"thẻ giao dịch")</f>
        <v>thẻ giao dịch</v>
      </c>
      <c r="E708" t="str">
        <f t="shared" ca="1" si="11"/>
        <v>"21020" : "thẻ giao dịch",</v>
      </c>
    </row>
    <row r="709" spans="1:5" ht="15.75" customHeight="1">
      <c r="A709" s="6">
        <v>2084046717</v>
      </c>
      <c r="B709" s="7" t="s">
        <v>1161</v>
      </c>
      <c r="C709" s="7" t="s">
        <v>1162</v>
      </c>
      <c r="D709" s="3" t="str">
        <f ca="1">IFERROR(__xludf.DUMMYFUNCTION("GOOGLETRANSLATE(B709,""ja"",""vi"")"),"Kuokado")</f>
        <v>Kuokado</v>
      </c>
      <c r="E709" t="str">
        <f t="shared" ca="1" si="11"/>
        <v>"2084046717" : "Kuokado",</v>
      </c>
    </row>
    <row r="710" spans="1:5" ht="15.75" customHeight="1">
      <c r="A710" s="6">
        <v>2084005120</v>
      </c>
      <c r="B710" s="7" t="s">
        <v>1163</v>
      </c>
      <c r="C710" s="7" t="s">
        <v>1164</v>
      </c>
      <c r="D710" s="3" t="str">
        <f ca="1">IFERROR(__xludf.DUMMYFUNCTION("GOOGLETRANSLATE(B710,""ja"",""vi"")"),"thẻ điện thoại")</f>
        <v>thẻ điện thoại</v>
      </c>
      <c r="E710" t="str">
        <f t="shared" ca="1" si="11"/>
        <v>"2084005120" : "thẻ điện thoại",</v>
      </c>
    </row>
    <row r="711" spans="1:5" ht="15.75" customHeight="1">
      <c r="A711" s="6">
        <v>2084006184</v>
      </c>
      <c r="B711" s="7" t="s">
        <v>135</v>
      </c>
      <c r="C711" s="7" t="s">
        <v>1165</v>
      </c>
      <c r="D711" s="3" t="str">
        <f ca="1">IFERROR(__xludf.DUMMYFUNCTION("GOOGLETRANSLATE(B711,""ja"",""vi"")"),"poster")</f>
        <v>poster</v>
      </c>
      <c r="E711" t="str">
        <f t="shared" ca="1" si="11"/>
        <v>"2084006184" : "poster",</v>
      </c>
    </row>
    <row r="712" spans="1:5" ht="15.75" customHeight="1">
      <c r="A712" s="6">
        <v>2084006161</v>
      </c>
      <c r="B712" s="7" t="s">
        <v>1166</v>
      </c>
      <c r="C712" s="7" t="s">
        <v>1167</v>
      </c>
      <c r="D712" s="3" t="str">
        <f ca="1">IFERROR(__xludf.DUMMYFUNCTION("GOOGLETRANSLATE(B712,""ja"",""vi"")"),"cắt giảm")</f>
        <v>cắt giảm</v>
      </c>
      <c r="E712" t="str">
        <f t="shared" ca="1" si="11"/>
        <v>"2084006161" : "cắt giảm",</v>
      </c>
    </row>
    <row r="713" spans="1:5" ht="15.75" customHeight="1">
      <c r="A713" s="6">
        <v>2084307735</v>
      </c>
      <c r="B713" s="7" t="s">
        <v>1168</v>
      </c>
      <c r="C713" s="7" t="s">
        <v>1169</v>
      </c>
      <c r="D713" s="3" t="str">
        <f ca="1">IFERROR(__xludf.DUMMYFUNCTION("GOOGLETRANSLATE(B713,""ja"",""vi"")"),"Minh họa, sản xuất nghệ thuật")</f>
        <v>Minh họa, sản xuất nghệ thuật</v>
      </c>
      <c r="E713" t="str">
        <f t="shared" ca="1" si="11"/>
        <v>"2084307735" : "Minh họa, sản xuất nghệ thuật",</v>
      </c>
    </row>
    <row r="714" spans="1:5" ht="15.75" customHeight="1">
      <c r="A714" s="6">
        <v>2084307732</v>
      </c>
      <c r="B714" s="7" t="s">
        <v>1170</v>
      </c>
      <c r="C714" s="7" t="s">
        <v>1171</v>
      </c>
      <c r="D714" s="3" t="str">
        <f ca="1">IFERROR(__xludf.DUMMYFUNCTION("GOOGLETRANSLATE(B714,""ja"",""vi"")"),"Sản xuất (tường thuật, diễn viên lồng tiếng)")</f>
        <v>Sản xuất (tường thuật, diễn viên lồng tiếng)</v>
      </c>
      <c r="E714" t="str">
        <f t="shared" ca="1" si="11"/>
        <v>"2084307732" : "Sản xuất (tường thuật, diễn viên lồng tiếng)",</v>
      </c>
    </row>
    <row r="715" spans="1:5" ht="15.75" customHeight="1">
      <c r="A715" s="6">
        <v>20068</v>
      </c>
      <c r="B715" s="7" t="s">
        <v>105</v>
      </c>
      <c r="C715" s="7" t="s">
        <v>1172</v>
      </c>
      <c r="D715" s="3" t="str">
        <f ca="1">IFERROR(__xludf.DUMMYFUNCTION("GOOGLETRANSLATE(B715,""ja"",""vi"")"),"nếu không thì")</f>
        <v>nếu không thì</v>
      </c>
      <c r="E715" t="str">
        <f t="shared" ca="1" si="11"/>
        <v>"20068" : "nếu không thì",</v>
      </c>
    </row>
    <row r="716" spans="1:5" ht="15.75" customHeight="1">
      <c r="A716" s="6">
        <v>2084040382</v>
      </c>
      <c r="B716" s="7" t="s">
        <v>1163</v>
      </c>
      <c r="C716" s="7" t="s">
        <v>1173</v>
      </c>
      <c r="D716" s="3" t="str">
        <f ca="1">IFERROR(__xludf.DUMMYFUNCTION("GOOGLETRANSLATE(B716,""ja"",""vi"")"),"thẻ điện thoại")</f>
        <v>thẻ điện thoại</v>
      </c>
      <c r="E716" t="str">
        <f t="shared" ca="1" si="11"/>
        <v>"2084040382" : "thẻ điện thoại",</v>
      </c>
    </row>
    <row r="717" spans="1:5" ht="15.75" customHeight="1">
      <c r="A717" s="6">
        <v>2084040027</v>
      </c>
      <c r="B717" s="7" t="s">
        <v>1174</v>
      </c>
      <c r="C717" s="7" t="s">
        <v>1175</v>
      </c>
      <c r="D717" s="3" t="str">
        <f ca="1">IFERROR(__xludf.DUMMYFUNCTION("GOOGLETRANSLATE(B717,""ja"",""vi"")"),"Điện thoại di Strap")</f>
        <v>Điện thoại di Strap</v>
      </c>
      <c r="E717" t="str">
        <f t="shared" ca="1" si="11"/>
        <v>"2084040027" : "Điện thoại di Strap",</v>
      </c>
    </row>
    <row r="718" spans="1:5" ht="15.75" customHeight="1">
      <c r="A718" s="6">
        <v>2084051757</v>
      </c>
      <c r="B718" s="7" t="s">
        <v>105</v>
      </c>
      <c r="C718" s="7" t="s">
        <v>1176</v>
      </c>
      <c r="D718" s="3" t="str">
        <f ca="1">IFERROR(__xludf.DUMMYFUNCTION("GOOGLETRANSLATE(B718,""ja"",""vi"")"),"nếu không thì")</f>
        <v>nếu không thì</v>
      </c>
      <c r="E718" t="str">
        <f t="shared" ca="1" si="11"/>
        <v>"2084051757" : "nếu không thì",</v>
      </c>
    </row>
    <row r="719" spans="1:5" ht="15.75" customHeight="1">
      <c r="A719" s="6">
        <v>2084020146</v>
      </c>
      <c r="B719" s="7" t="s">
        <v>1177</v>
      </c>
      <c r="C719" s="7" t="s">
        <v>1178</v>
      </c>
      <c r="D719" s="3" t="str">
        <f ca="1">IFERROR(__xludf.DUMMYFUNCTION("GOOGLETRANSLATE(B719,""ja"",""vi"")"),"Thú nhồi bông")</f>
        <v>Thú nhồi bông</v>
      </c>
      <c r="E719" t="str">
        <f t="shared" ca="1" si="11"/>
        <v>"2084020146" : "Thú nhồi bông",</v>
      </c>
    </row>
    <row r="720" spans="1:5" ht="15.75" customHeight="1">
      <c r="A720" s="6">
        <v>2084040147</v>
      </c>
      <c r="B720" s="7" t="s">
        <v>1174</v>
      </c>
      <c r="C720" s="7" t="s">
        <v>1179</v>
      </c>
      <c r="D720" s="3" t="str">
        <f ca="1">IFERROR(__xludf.DUMMYFUNCTION("GOOGLETRANSLATE(B720,""ja"",""vi"")"),"Điện thoại di Strap")</f>
        <v>Điện thoại di Strap</v>
      </c>
      <c r="E720" t="str">
        <f t="shared" ca="1" si="11"/>
        <v>"2084040147" : "Điện thoại di Strap",</v>
      </c>
    </row>
    <row r="721" spans="1:5" ht="15.75" customHeight="1">
      <c r="A721" s="6">
        <v>2084044869</v>
      </c>
      <c r="B721" s="7" t="s">
        <v>105</v>
      </c>
      <c r="C721" s="7" t="s">
        <v>1180</v>
      </c>
      <c r="D721" s="3" t="str">
        <f ca="1">IFERROR(__xludf.DUMMYFUNCTION("GOOGLETRANSLATE(B721,""ja"",""vi"")"),"nếu không thì")</f>
        <v>nếu không thì</v>
      </c>
      <c r="E721" t="str">
        <f t="shared" ca="1" si="11"/>
        <v>"2084044869" : "nếu không thì",</v>
      </c>
    </row>
    <row r="722" spans="1:5" ht="15.75" customHeight="1">
      <c r="A722" s="6">
        <v>2084006027</v>
      </c>
      <c r="B722" s="7" t="s">
        <v>1159</v>
      </c>
      <c r="C722" s="7" t="s">
        <v>1181</v>
      </c>
      <c r="D722" s="3" t="str">
        <f ca="1">IFERROR(__xludf.DUMMYFUNCTION("GOOGLETRANSLATE(B722,""ja"",""vi"")"),"thẻ giao dịch")</f>
        <v>thẻ giao dịch</v>
      </c>
      <c r="E722" t="str">
        <f t="shared" ca="1" si="11"/>
        <v>"2084006027" : "thẻ giao dịch",</v>
      </c>
    </row>
    <row r="723" spans="1:5" ht="15.75" customHeight="1">
      <c r="A723" s="6">
        <v>2084023623</v>
      </c>
      <c r="B723" s="7" t="s">
        <v>1137</v>
      </c>
      <c r="C723" s="7" t="s">
        <v>1182</v>
      </c>
      <c r="D723" s="3" t="str">
        <f ca="1">IFERROR(__xludf.DUMMYFUNCTION("GOOGLETRANSLATE(B723,""ja"",""vi"")"),"nhân vật")</f>
        <v>nhân vật</v>
      </c>
      <c r="E723" t="str">
        <f t="shared" ca="1" si="11"/>
        <v>"2084023623" : "nhân vật",</v>
      </c>
    </row>
    <row r="724" spans="1:5" ht="15.75" customHeight="1">
      <c r="A724" s="6">
        <v>2084006112</v>
      </c>
      <c r="B724" s="7" t="s">
        <v>105</v>
      </c>
      <c r="C724" s="7" t="s">
        <v>1183</v>
      </c>
      <c r="D724" s="3" t="str">
        <f ca="1">IFERROR(__xludf.DUMMYFUNCTION("GOOGLETRANSLATE(B724,""ja"",""vi"")"),"nếu không thì")</f>
        <v>nếu không thì</v>
      </c>
      <c r="E724" t="str">
        <f t="shared" ca="1" si="11"/>
        <v>"2084006112" : "nếu không thì",</v>
      </c>
    </row>
    <row r="725" spans="1:5" ht="15.75" customHeight="1">
      <c r="A725" s="6">
        <v>2084040380</v>
      </c>
      <c r="B725" s="7" t="s">
        <v>1163</v>
      </c>
      <c r="C725" s="7" t="s">
        <v>1184</v>
      </c>
      <c r="D725" s="3" t="str">
        <f ca="1">IFERROR(__xludf.DUMMYFUNCTION("GOOGLETRANSLATE(B725,""ja"",""vi"")"),"thẻ điện thoại")</f>
        <v>thẻ điện thoại</v>
      </c>
      <c r="E725" t="str">
        <f t="shared" ca="1" si="11"/>
        <v>"2084040380" : "thẻ điện thoại",</v>
      </c>
    </row>
    <row r="726" spans="1:5" ht="15.75" customHeight="1">
      <c r="A726" s="6">
        <v>2084040028</v>
      </c>
      <c r="B726" s="7" t="s">
        <v>1174</v>
      </c>
      <c r="C726" s="7" t="s">
        <v>1185</v>
      </c>
      <c r="D726" s="3" t="str">
        <f ca="1">IFERROR(__xludf.DUMMYFUNCTION("GOOGLETRANSLATE(B726,""ja"",""vi"")"),"Điện thoại di Strap")</f>
        <v>Điện thoại di Strap</v>
      </c>
      <c r="E726" t="str">
        <f t="shared" ca="1" si="11"/>
        <v>"2084040028" : "Điện thoại di Strap",</v>
      </c>
    </row>
    <row r="727" spans="1:5" ht="15.75" customHeight="1">
      <c r="A727" s="6">
        <v>2084020016</v>
      </c>
      <c r="B727" s="7" t="s">
        <v>1186</v>
      </c>
      <c r="C727" s="7" t="s">
        <v>1187</v>
      </c>
      <c r="D727" s="3" t="str">
        <f ca="1">IFERROR(__xludf.DUMMYFUNCTION("GOOGLETRANSLATE(B727,""ja"",""vi"")"),"búp bê")</f>
        <v>búp bê</v>
      </c>
      <c r="E727" t="str">
        <f t="shared" ca="1" si="11"/>
        <v>"2084020016" : "búp bê",</v>
      </c>
    </row>
    <row r="728" spans="1:5" ht="15.75" customHeight="1">
      <c r="A728" s="6">
        <v>2084045624</v>
      </c>
      <c r="B728" s="7" t="s">
        <v>105</v>
      </c>
      <c r="C728" s="7" t="s">
        <v>1188</v>
      </c>
      <c r="D728" s="3" t="str">
        <f ca="1">IFERROR(__xludf.DUMMYFUNCTION("GOOGLETRANSLATE(B728,""ja"",""vi"")"),"nếu không thì")</f>
        <v>nếu không thì</v>
      </c>
      <c r="E728" t="str">
        <f t="shared" ca="1" si="11"/>
        <v>"2084045624" : "nếu không thì",</v>
      </c>
    </row>
    <row r="729" spans="1:5" ht="15.75" customHeight="1">
      <c r="A729" s="6">
        <v>2084063682</v>
      </c>
      <c r="B729" s="7" t="s">
        <v>1177</v>
      </c>
      <c r="C729" s="7" t="s">
        <v>1189</v>
      </c>
      <c r="D729" s="3" t="str">
        <f ca="1">IFERROR(__xludf.DUMMYFUNCTION("GOOGLETRANSLATE(B729,""ja"",""vi"")"),"Thú nhồi bông")</f>
        <v>Thú nhồi bông</v>
      </c>
      <c r="E729" t="str">
        <f t="shared" ca="1" si="11"/>
        <v>"2084063682" : "Thú nhồi bông",</v>
      </c>
    </row>
    <row r="730" spans="1:5" ht="15.75" customHeight="1">
      <c r="A730" s="6">
        <v>2084063687</v>
      </c>
      <c r="B730" s="7" t="s">
        <v>105</v>
      </c>
      <c r="C730" s="7" t="s">
        <v>1190</v>
      </c>
      <c r="D730" s="3" t="str">
        <f ca="1">IFERROR(__xludf.DUMMYFUNCTION("GOOGLETRANSLATE(B730,""ja"",""vi"")"),"nếu không thì")</f>
        <v>nếu không thì</v>
      </c>
      <c r="E730" t="str">
        <f t="shared" ca="1" si="11"/>
        <v>"2084063687" : "nếu không thì",</v>
      </c>
    </row>
    <row r="731" spans="1:5" ht="15.75" customHeight="1">
      <c r="A731" s="6">
        <v>25964</v>
      </c>
      <c r="B731" s="7" t="s">
        <v>1177</v>
      </c>
      <c r="C731" s="7" t="s">
        <v>1191</v>
      </c>
      <c r="D731" s="3" t="str">
        <f ca="1">IFERROR(__xludf.DUMMYFUNCTION("GOOGLETRANSLATE(B731,""ja"",""vi"")"),"Thú nhồi bông")</f>
        <v>Thú nhồi bông</v>
      </c>
      <c r="E731" t="str">
        <f t="shared" ca="1" si="11"/>
        <v>"25964" : "Thú nhồi bông",</v>
      </c>
    </row>
    <row r="732" spans="1:5" ht="15.75" customHeight="1">
      <c r="A732" s="6">
        <v>25966</v>
      </c>
      <c r="B732" s="7" t="s">
        <v>1009</v>
      </c>
      <c r="C732" s="7" t="s">
        <v>1192</v>
      </c>
      <c r="D732" s="3" t="str">
        <f ca="1">IFERROR(__xludf.DUMMYFUNCTION("GOOGLETRANSLATE(B732,""ja"",""vi"")"),"nhân vật búp bê")</f>
        <v>nhân vật búp bê</v>
      </c>
      <c r="E732" t="str">
        <f t="shared" ca="1" si="11"/>
        <v>"25966" : "nhân vật búp bê",</v>
      </c>
    </row>
    <row r="733" spans="1:5" ht="15.75" customHeight="1">
      <c r="A733" s="6">
        <v>2084005551</v>
      </c>
      <c r="B733" s="7" t="s">
        <v>1193</v>
      </c>
      <c r="C733" s="7" t="s">
        <v>1194</v>
      </c>
      <c r="D733" s="3" t="str">
        <f ca="1">IFERROR(__xludf.DUMMYFUNCTION("GOOGLETRANSLATE(B733,""ja"",""vi"")"),"Thức ăn nhanh Toy")</f>
        <v>Thức ăn nhanh Toy</v>
      </c>
      <c r="E733" t="str">
        <f t="shared" ca="1" si="11"/>
        <v>"2084005551" : "Thức ăn nhanh Toy",</v>
      </c>
    </row>
    <row r="734" spans="1:5" ht="15.75" customHeight="1">
      <c r="A734" s="6">
        <v>25970</v>
      </c>
      <c r="B734" s="7" t="s">
        <v>105</v>
      </c>
      <c r="C734" s="7" t="s">
        <v>1195</v>
      </c>
      <c r="D734" s="3" t="str">
        <f ca="1">IFERROR(__xludf.DUMMYFUNCTION("GOOGLETRANSLATE(B734,""ja"",""vi"")"),"nếu không thì")</f>
        <v>nếu không thì</v>
      </c>
      <c r="E734" t="str">
        <f t="shared" ca="1" si="11"/>
        <v>"25970" : "nếu không thì",</v>
      </c>
    </row>
    <row r="735" spans="1:5" ht="15.75" customHeight="1">
      <c r="A735" s="6">
        <v>2084020156</v>
      </c>
      <c r="B735" s="7" t="s">
        <v>1177</v>
      </c>
      <c r="C735" s="7" t="s">
        <v>1196</v>
      </c>
      <c r="D735" s="3" t="str">
        <f ca="1">IFERROR(__xludf.DUMMYFUNCTION("GOOGLETRANSLATE(B735,""ja"",""vi"")"),"Thú nhồi bông")</f>
        <v>Thú nhồi bông</v>
      </c>
      <c r="E735" t="str">
        <f t="shared" ca="1" si="11"/>
        <v>"2084020156" : "Thú nhồi bông",</v>
      </c>
    </row>
    <row r="736" spans="1:5" ht="15.75" customHeight="1">
      <c r="A736" s="6">
        <v>2084020044</v>
      </c>
      <c r="B736" s="7" t="s">
        <v>1009</v>
      </c>
      <c r="C736" s="7" t="s">
        <v>1197</v>
      </c>
      <c r="D736" s="3" t="str">
        <f ca="1">IFERROR(__xludf.DUMMYFUNCTION("GOOGLETRANSLATE(B736,""ja"",""vi"")"),"nhân vật búp bê")</f>
        <v>nhân vật búp bê</v>
      </c>
      <c r="E736" t="str">
        <f t="shared" ca="1" si="11"/>
        <v>"2084020044" : "nhân vật búp bê",</v>
      </c>
    </row>
    <row r="737" spans="1:5" ht="15.75" customHeight="1">
      <c r="A737" s="6">
        <v>2084040376</v>
      </c>
      <c r="B737" s="7" t="s">
        <v>1163</v>
      </c>
      <c r="C737" s="7" t="s">
        <v>1198</v>
      </c>
      <c r="D737" s="3" t="str">
        <f ca="1">IFERROR(__xludf.DUMMYFUNCTION("GOOGLETRANSLATE(B737,""ja"",""vi"")"),"thẻ điện thoại")</f>
        <v>thẻ điện thoại</v>
      </c>
      <c r="E737" t="str">
        <f t="shared" ca="1" si="11"/>
        <v>"2084040376" : "thẻ điện thoại",</v>
      </c>
    </row>
    <row r="738" spans="1:5" ht="15.75" customHeight="1">
      <c r="A738" s="6">
        <v>2084040099</v>
      </c>
      <c r="B738" s="7" t="s">
        <v>1174</v>
      </c>
      <c r="C738" s="7" t="s">
        <v>1199</v>
      </c>
      <c r="D738" s="3" t="str">
        <f ca="1">IFERROR(__xludf.DUMMYFUNCTION("GOOGLETRANSLATE(B738,""ja"",""vi"")"),"Điện thoại di Strap")</f>
        <v>Điện thoại di Strap</v>
      </c>
      <c r="E738" t="str">
        <f t="shared" ca="1" si="11"/>
        <v>"2084040099" : "Điện thoại di Strap",</v>
      </c>
    </row>
    <row r="739" spans="1:5" ht="15.75" customHeight="1">
      <c r="A739" s="6">
        <v>2084044878</v>
      </c>
      <c r="B739" s="7" t="s">
        <v>105</v>
      </c>
      <c r="C739" s="7" t="s">
        <v>1200</v>
      </c>
      <c r="D739" s="3" t="str">
        <f ca="1">IFERROR(__xludf.DUMMYFUNCTION("GOOGLETRANSLATE(B739,""ja"",""vi"")"),"nếu không thì")</f>
        <v>nếu không thì</v>
      </c>
      <c r="E739" t="str">
        <f t="shared" ca="1" si="11"/>
        <v>"2084044878" : "nếu không thì",</v>
      </c>
    </row>
    <row r="740" spans="1:5" ht="15.75" customHeight="1">
      <c r="A740" s="6">
        <v>2084020108</v>
      </c>
      <c r="B740" s="7" t="s">
        <v>1177</v>
      </c>
      <c r="C740" s="7" t="s">
        <v>1201</v>
      </c>
      <c r="D740" s="3" t="str">
        <f ca="1">IFERROR(__xludf.DUMMYFUNCTION("GOOGLETRANSLATE(B740,""ja"",""vi"")"),"Thú nhồi bông")</f>
        <v>Thú nhồi bông</v>
      </c>
      <c r="E740" t="str">
        <f t="shared" ca="1" si="11"/>
        <v>"2084020108" : "Thú nhồi bông",</v>
      </c>
    </row>
    <row r="741" spans="1:5" ht="15.75" customHeight="1">
      <c r="A741" s="6">
        <v>27587</v>
      </c>
      <c r="B741" s="7" t="s">
        <v>1009</v>
      </c>
      <c r="C741" s="7" t="s">
        <v>1202</v>
      </c>
      <c r="D741" s="3" t="str">
        <f ca="1">IFERROR(__xludf.DUMMYFUNCTION("GOOGLETRANSLATE(B741,""ja"",""vi"")"),"nhân vật búp bê")</f>
        <v>nhân vật búp bê</v>
      </c>
      <c r="E741" t="str">
        <f t="shared" ca="1" si="11"/>
        <v>"27587" : "nhân vật búp bê",</v>
      </c>
    </row>
    <row r="742" spans="1:5" ht="15.75" customHeight="1">
      <c r="A742" s="6">
        <v>22094</v>
      </c>
      <c r="B742" s="7" t="s">
        <v>1145</v>
      </c>
      <c r="C742" s="7" t="s">
        <v>1203</v>
      </c>
      <c r="D742" s="3" t="str">
        <f ca="1">IFERROR(__xludf.DUMMYFUNCTION("GOOGLETRANSLATE(B742,""ja"",""vi"")"),"video")</f>
        <v>video</v>
      </c>
      <c r="E742" t="str">
        <f t="shared" ca="1" si="11"/>
        <v>"22094" : "video",</v>
      </c>
    </row>
    <row r="743" spans="1:5" ht="15.75" customHeight="1">
      <c r="A743" s="6">
        <v>44364</v>
      </c>
      <c r="B743" s="7" t="s">
        <v>1204</v>
      </c>
      <c r="C743" s="7" t="s">
        <v>1205</v>
      </c>
      <c r="D743" s="3" t="str">
        <f ca="1">IFERROR(__xludf.DUMMYFUNCTION("GOOGLETRANSLATE(B743,""ja"",""vi"")"),"pin Badge")</f>
        <v>pin Badge</v>
      </c>
      <c r="E743" t="str">
        <f t="shared" ca="1" si="11"/>
        <v>"44364" : "pin Badge",</v>
      </c>
    </row>
    <row r="744" spans="1:5" ht="15.75" customHeight="1">
      <c r="A744" s="6">
        <v>2084005550</v>
      </c>
      <c r="B744" s="7" t="s">
        <v>1193</v>
      </c>
      <c r="C744" s="7" t="s">
        <v>1206</v>
      </c>
      <c r="D744" s="3" t="str">
        <f ca="1">IFERROR(__xludf.DUMMYFUNCTION("GOOGLETRANSLATE(B744,""ja"",""vi"")"),"Thức ăn nhanh Toy")</f>
        <v>Thức ăn nhanh Toy</v>
      </c>
      <c r="E744" t="str">
        <f t="shared" ca="1" si="11"/>
        <v>"2084005550" : "Thức ăn nhanh Toy",</v>
      </c>
    </row>
    <row r="745" spans="1:5" ht="15.75" customHeight="1">
      <c r="A745" s="6">
        <v>27862</v>
      </c>
      <c r="B745" s="7" t="s">
        <v>105</v>
      </c>
      <c r="C745" s="7" t="s">
        <v>1207</v>
      </c>
      <c r="D745" s="3" t="str">
        <f ca="1">IFERROR(__xludf.DUMMYFUNCTION("GOOGLETRANSLATE(B745,""ja"",""vi"")"),"nếu không thì")</f>
        <v>nếu không thì</v>
      </c>
      <c r="E745" t="str">
        <f t="shared" ca="1" si="11"/>
        <v>"27862" : "nếu không thì",</v>
      </c>
    </row>
    <row r="746" spans="1:5" ht="15.75" customHeight="1">
      <c r="A746" s="6">
        <v>2084040371</v>
      </c>
      <c r="B746" s="7" t="s">
        <v>1163</v>
      </c>
      <c r="C746" s="7" t="s">
        <v>1208</v>
      </c>
      <c r="D746" s="3" t="str">
        <f ca="1">IFERROR(__xludf.DUMMYFUNCTION("GOOGLETRANSLATE(B746,""ja"",""vi"")"),"thẻ điện thoại")</f>
        <v>thẻ điện thoại</v>
      </c>
      <c r="E746" t="str">
        <f t="shared" ca="1" si="11"/>
        <v>"2084040371" : "thẻ điện thoại",</v>
      </c>
    </row>
    <row r="747" spans="1:5" ht="15.75" customHeight="1">
      <c r="A747" s="6">
        <v>2084019423</v>
      </c>
      <c r="B747" s="7" t="s">
        <v>1193</v>
      </c>
      <c r="C747" s="7" t="s">
        <v>1209</v>
      </c>
      <c r="D747" s="3" t="str">
        <f ca="1">IFERROR(__xludf.DUMMYFUNCTION("GOOGLETRANSLATE(B747,""ja"",""vi"")"),"Thức ăn nhanh Toy")</f>
        <v>Thức ăn nhanh Toy</v>
      </c>
      <c r="E747" t="str">
        <f t="shared" ca="1" si="11"/>
        <v>"2084019423" : "Thức ăn nhanh Toy",</v>
      </c>
    </row>
    <row r="748" spans="1:5" ht="15.75" customHeight="1">
      <c r="A748" s="6">
        <v>2084040215</v>
      </c>
      <c r="B748" s="7" t="s">
        <v>1174</v>
      </c>
      <c r="C748" s="7" t="s">
        <v>1210</v>
      </c>
      <c r="D748" s="3" t="str">
        <f ca="1">IFERROR(__xludf.DUMMYFUNCTION("GOOGLETRANSLATE(B748,""ja"",""vi"")"),"Điện thoại di Strap")</f>
        <v>Điện thoại di Strap</v>
      </c>
      <c r="E748" t="str">
        <f t="shared" ca="1" si="11"/>
        <v>"2084040215" : "Điện thoại di Strap",</v>
      </c>
    </row>
    <row r="749" spans="1:5" ht="15.75" customHeight="1">
      <c r="A749" s="6">
        <v>2084045714</v>
      </c>
      <c r="B749" s="7" t="s">
        <v>1211</v>
      </c>
      <c r="C749" s="7" t="s">
        <v>1212</v>
      </c>
      <c r="D749" s="3" t="str">
        <f ca="1">IFERROR(__xludf.DUMMYFUNCTION("GOOGLETRANSLATE(B749,""ja"",""vi"")"),"Xem")</f>
        <v>Xem</v>
      </c>
      <c r="E749" t="str">
        <f t="shared" ca="1" si="11"/>
        <v>"2084045714" : "Xem",</v>
      </c>
    </row>
    <row r="750" spans="1:5" ht="15.75" customHeight="1">
      <c r="A750" s="6">
        <v>2084000112</v>
      </c>
      <c r="B750" s="7" t="s">
        <v>1213</v>
      </c>
      <c r="C750" s="7" t="s">
        <v>1214</v>
      </c>
      <c r="D750" s="3" t="str">
        <f ca="1">IFERROR(__xludf.DUMMYFUNCTION("GOOGLETRANSLATE(B750,""ja"",""vi"")"),"Hello Kitty hàng hóa nói chung")</f>
        <v>Hello Kitty hàng hóa nói chung</v>
      </c>
      <c r="E750" t="str">
        <f t="shared" ca="1" si="11"/>
        <v>"2084000112" : "Hello Kitty hàng hóa nói chung",</v>
      </c>
    </row>
    <row r="751" spans="1:5" ht="15.75" customHeight="1">
      <c r="A751" s="6">
        <v>2084044858</v>
      </c>
      <c r="B751" s="7" t="s">
        <v>1177</v>
      </c>
      <c r="C751" s="7" t="s">
        <v>1215</v>
      </c>
      <c r="D751" s="3" t="str">
        <f ca="1">IFERROR(__xludf.DUMMYFUNCTION("GOOGLETRANSLATE(B751,""ja"",""vi"")"),"Thú nhồi bông")</f>
        <v>Thú nhồi bông</v>
      </c>
      <c r="E751" t="str">
        <f t="shared" ca="1" si="11"/>
        <v>"2084044858" : "Thú nhồi bông",</v>
      </c>
    </row>
    <row r="752" spans="1:5" ht="15.75" customHeight="1">
      <c r="A752" s="6">
        <v>2084040362</v>
      </c>
      <c r="B752" s="7" t="s">
        <v>1163</v>
      </c>
      <c r="C752" s="7" t="s">
        <v>1216</v>
      </c>
      <c r="D752" s="3" t="str">
        <f ca="1">IFERROR(__xludf.DUMMYFUNCTION("GOOGLETRANSLATE(B752,""ja"",""vi"")"),"thẻ điện thoại")</f>
        <v>thẻ điện thoại</v>
      </c>
      <c r="E752" t="str">
        <f t="shared" ca="1" si="11"/>
        <v>"2084040362" : "thẻ điện thoại",</v>
      </c>
    </row>
    <row r="753" spans="1:5" ht="15.75" customHeight="1">
      <c r="A753" s="6">
        <v>2084040227</v>
      </c>
      <c r="B753" s="7" t="s">
        <v>1174</v>
      </c>
      <c r="C753" s="7" t="s">
        <v>1217</v>
      </c>
      <c r="D753" s="3" t="str">
        <f ca="1">IFERROR(__xludf.DUMMYFUNCTION("GOOGLETRANSLATE(B753,""ja"",""vi"")"),"Điện thoại di Strap")</f>
        <v>Điện thoại di Strap</v>
      </c>
      <c r="E753" t="str">
        <f t="shared" ca="1" si="11"/>
        <v>"2084040227" : "Điện thoại di Strap",</v>
      </c>
    </row>
    <row r="754" spans="1:5" ht="15.75" customHeight="1">
      <c r="A754" s="6">
        <v>2084044880</v>
      </c>
      <c r="B754" s="7" t="s">
        <v>105</v>
      </c>
      <c r="C754" s="7" t="s">
        <v>1218</v>
      </c>
      <c r="D754" s="3" t="str">
        <f ca="1">IFERROR(__xludf.DUMMYFUNCTION("GOOGLETRANSLATE(B754,""ja"",""vi"")"),"nếu không thì")</f>
        <v>nếu không thì</v>
      </c>
      <c r="E754" t="str">
        <f t="shared" ca="1" si="11"/>
        <v>"2084044880" : "nếu không thì",</v>
      </c>
    </row>
    <row r="755" spans="1:5" ht="15.75" customHeight="1">
      <c r="A755" s="6">
        <v>2084020172</v>
      </c>
      <c r="B755" s="7" t="s">
        <v>1177</v>
      </c>
      <c r="C755" s="7" t="s">
        <v>1219</v>
      </c>
      <c r="D755" s="3" t="str">
        <f ca="1">IFERROR(__xludf.DUMMYFUNCTION("GOOGLETRANSLATE(B755,""ja"",""vi"")"),"Thú nhồi bông")</f>
        <v>Thú nhồi bông</v>
      </c>
      <c r="E755" t="str">
        <f t="shared" ca="1" si="11"/>
        <v>"2084020172" : "Thú nhồi bông",</v>
      </c>
    </row>
    <row r="756" spans="1:5" ht="15.75" customHeight="1">
      <c r="A756" s="6">
        <v>2084020054</v>
      </c>
      <c r="B756" s="7" t="s">
        <v>1009</v>
      </c>
      <c r="C756" s="7" t="s">
        <v>1220</v>
      </c>
      <c r="D756" s="3" t="str">
        <f ca="1">IFERROR(__xludf.DUMMYFUNCTION("GOOGLETRANSLATE(B756,""ja"",""vi"")"),"nhân vật búp bê")</f>
        <v>nhân vật búp bê</v>
      </c>
      <c r="E756" t="str">
        <f t="shared" ca="1" si="11"/>
        <v>"2084020054" : "nhân vật búp bê",</v>
      </c>
    </row>
    <row r="757" spans="1:5" ht="15.75" customHeight="1">
      <c r="A757" s="6">
        <v>2084040373</v>
      </c>
      <c r="B757" s="7" t="s">
        <v>1163</v>
      </c>
      <c r="C757" s="7" t="s">
        <v>1221</v>
      </c>
      <c r="D757" s="3" t="str">
        <f ca="1">IFERROR(__xludf.DUMMYFUNCTION("GOOGLETRANSLATE(B757,""ja"",""vi"")"),"thẻ điện thoại")</f>
        <v>thẻ điện thoại</v>
      </c>
      <c r="E757" t="str">
        <f t="shared" ca="1" si="11"/>
        <v>"2084040373" : "thẻ điện thoại",</v>
      </c>
    </row>
    <row r="758" spans="1:5" ht="15.75" customHeight="1">
      <c r="A758" s="6">
        <v>2084040271</v>
      </c>
      <c r="B758" s="7" t="s">
        <v>1174</v>
      </c>
      <c r="C758" s="7" t="s">
        <v>1222</v>
      </c>
      <c r="D758" s="3" t="str">
        <f ca="1">IFERROR(__xludf.DUMMYFUNCTION("GOOGLETRANSLATE(B758,""ja"",""vi"")"),"Điện thoại di Strap")</f>
        <v>Điện thoại di Strap</v>
      </c>
      <c r="E758" t="str">
        <f t="shared" ca="1" si="11"/>
        <v>"2084040271" : "Điện thoại di Strap",</v>
      </c>
    </row>
    <row r="759" spans="1:5" ht="15.75" customHeight="1">
      <c r="A759" s="6">
        <v>2084063681</v>
      </c>
      <c r="B759" s="7" t="s">
        <v>105</v>
      </c>
      <c r="C759" s="7" t="s">
        <v>1223</v>
      </c>
      <c r="D759" s="3" t="str">
        <f ca="1">IFERROR(__xludf.DUMMYFUNCTION("GOOGLETRANSLATE(B759,""ja"",""vi"")"),"nếu không thì")</f>
        <v>nếu không thì</v>
      </c>
      <c r="E759" t="str">
        <f t="shared" ca="1" si="11"/>
        <v>"2084063681" : "nếu không thì",</v>
      </c>
    </row>
    <row r="760" spans="1:5" ht="15.75" customHeight="1">
      <c r="A760" s="6">
        <v>2084060488</v>
      </c>
      <c r="B760" s="7" t="s">
        <v>1177</v>
      </c>
      <c r="C760" s="7" t="s">
        <v>1224</v>
      </c>
      <c r="D760" s="3" t="str">
        <f ca="1">IFERROR(__xludf.DUMMYFUNCTION("GOOGLETRANSLATE(B760,""ja"",""vi"")"),"Thú nhồi bông")</f>
        <v>Thú nhồi bông</v>
      </c>
      <c r="E760" t="str">
        <f t="shared" ca="1" si="11"/>
        <v>"2084060488" : "Thú nhồi bông",</v>
      </c>
    </row>
    <row r="761" spans="1:5" ht="15.75" customHeight="1">
      <c r="A761" s="6">
        <v>2084061270</v>
      </c>
      <c r="B761" s="7" t="s">
        <v>105</v>
      </c>
      <c r="C761" s="7" t="s">
        <v>1225</v>
      </c>
      <c r="D761" s="3" t="str">
        <f ca="1">IFERROR(__xludf.DUMMYFUNCTION("GOOGLETRANSLATE(B761,""ja"",""vi"")"),"nếu không thì")</f>
        <v>nếu không thì</v>
      </c>
      <c r="E761" t="str">
        <f t="shared" ca="1" si="11"/>
        <v>"2084061270" : "nếu không thì",</v>
      </c>
    </row>
    <row r="762" spans="1:5" ht="15.75" customHeight="1">
      <c r="A762" s="6">
        <v>2084023644</v>
      </c>
      <c r="B762" s="7" t="s">
        <v>1137</v>
      </c>
      <c r="C762" s="7" t="s">
        <v>1226</v>
      </c>
      <c r="D762" s="3" t="str">
        <f ca="1">IFERROR(__xludf.DUMMYFUNCTION("GOOGLETRANSLATE(B762,""ja"",""vi"")"),"nhân vật")</f>
        <v>nhân vật</v>
      </c>
      <c r="E762" t="str">
        <f t="shared" ca="1" si="11"/>
        <v>"2084023644" : "nhân vật",</v>
      </c>
    </row>
    <row r="763" spans="1:5" ht="15.75" customHeight="1">
      <c r="A763" s="6">
        <v>2084006114</v>
      </c>
      <c r="B763" s="7" t="s">
        <v>105</v>
      </c>
      <c r="C763" s="7" t="s">
        <v>1227</v>
      </c>
      <c r="D763" s="3" t="str">
        <f ca="1">IFERROR(__xludf.DUMMYFUNCTION("GOOGLETRANSLATE(B763,""ja"",""vi"")"),"nếu không thì")</f>
        <v>nếu không thì</v>
      </c>
      <c r="E763" t="str">
        <f t="shared" ca="1" si="11"/>
        <v>"2084006114" : "nếu không thì",</v>
      </c>
    </row>
    <row r="764" spans="1:5" ht="15.75" customHeight="1">
      <c r="A764" s="6">
        <v>2084312348</v>
      </c>
      <c r="B764" s="7" t="s">
        <v>1228</v>
      </c>
      <c r="C764" s="7" t="s">
        <v>1229</v>
      </c>
      <c r="D764" s="3" t="str">
        <f ca="1">IFERROR(__xludf.DUMMYFUNCTION("GOOGLETRANSLATE(B764,""ja"",""vi"")"),"bộ sưu tập động vật thú cưng")</f>
        <v>bộ sưu tập động vật thú cưng</v>
      </c>
      <c r="E764" t="str">
        <f t="shared" ca="1" si="11"/>
        <v>"2084312348" : "bộ sưu tập động vật thú cưng",</v>
      </c>
    </row>
    <row r="765" spans="1:5" ht="15.75" customHeight="1">
      <c r="A765" s="6">
        <v>2084312347</v>
      </c>
      <c r="B765" s="7" t="s">
        <v>1230</v>
      </c>
      <c r="C765" s="7" t="s">
        <v>1231</v>
      </c>
      <c r="D765" s="3" t="str">
        <f ca="1">IFERROR(__xludf.DUMMYFUNCTION("GOOGLETRANSLATE(B765,""ja"",""vi"")"),"bộ sưu tập động vật Nhật Bản")</f>
        <v>bộ sưu tập động vật Nhật Bản</v>
      </c>
      <c r="E765" t="str">
        <f t="shared" ca="1" si="11"/>
        <v>"2084312347" : "bộ sưu tập động vật Nhật Bản",</v>
      </c>
    </row>
    <row r="766" spans="1:5" ht="15.75" customHeight="1">
      <c r="A766" s="6">
        <v>2084312349</v>
      </c>
      <c r="B766" s="7" t="s">
        <v>1232</v>
      </c>
      <c r="C766" s="7" t="s">
        <v>1233</v>
      </c>
      <c r="D766" s="3" t="str">
        <f ca="1">IFERROR(__xludf.DUMMYFUNCTION("GOOGLETRANSLATE(B766,""ja"",""vi"")"),"Bộ sưu tập nhân vật Disney")</f>
        <v>Bộ sưu tập nhân vật Disney</v>
      </c>
      <c r="E766" t="str">
        <f t="shared" ca="1" si="11"/>
        <v>"2084312349" : "Bộ sưu tập nhân vật Disney",</v>
      </c>
    </row>
    <row r="767" spans="1:5" ht="15.75" customHeight="1">
      <c r="A767" s="6">
        <v>2084222830</v>
      </c>
      <c r="B767" s="7" t="s">
        <v>516</v>
      </c>
      <c r="C767" s="7" t="s">
        <v>1234</v>
      </c>
      <c r="D767" s="3" t="str">
        <f ca="1">IFERROR(__xludf.DUMMYFUNCTION("GOOGLETRANSLATE(B767,""ja"",""vi"")"),"super Mario")</f>
        <v>super Mario</v>
      </c>
      <c r="E767" t="str">
        <f t="shared" ca="1" si="11"/>
        <v>"2084222830" : "super Mario",</v>
      </c>
    </row>
    <row r="768" spans="1:5" ht="15.75" customHeight="1">
      <c r="A768" s="6">
        <v>2084312350</v>
      </c>
      <c r="B768" s="7" t="s">
        <v>105</v>
      </c>
      <c r="C768" s="7" t="s">
        <v>1235</v>
      </c>
      <c r="D768" s="3" t="str">
        <f ca="1">IFERROR(__xludf.DUMMYFUNCTION("GOOGLETRANSLATE(B768,""ja"",""vi"")"),"nếu không thì")</f>
        <v>nếu không thì</v>
      </c>
      <c r="E768" t="str">
        <f t="shared" ca="1" si="11"/>
        <v>"2084312350" : "nếu không thì",</v>
      </c>
    </row>
    <row r="769" spans="1:5" ht="15.75" customHeight="1">
      <c r="A769" s="6">
        <v>2084005617</v>
      </c>
      <c r="B769" s="7" t="s">
        <v>1236</v>
      </c>
      <c r="C769" s="7" t="s">
        <v>1237</v>
      </c>
      <c r="D769" s="3" t="str">
        <f ca="1">IFERROR(__xludf.DUMMYFUNCTION("GOOGLETRANSLATE(B769,""ja"",""vi"")"),"Bikkuriman 2000")</f>
        <v>Bikkuriman 2000</v>
      </c>
      <c r="E769" t="str">
        <f t="shared" ca="1" si="11"/>
        <v>"2084005617" : "Bikkuriman 2000",</v>
      </c>
    </row>
    <row r="770" spans="1:5" ht="15.75" customHeight="1">
      <c r="A770" s="6">
        <v>2084005616</v>
      </c>
      <c r="B770" s="7" t="s">
        <v>1238</v>
      </c>
      <c r="C770" s="7" t="s">
        <v>1239</v>
      </c>
      <c r="D770" s="3" t="str">
        <f ca="1">IFERROR(__xludf.DUMMYFUNCTION("GOOGLETRANSLATE(B770,""ja"",""vi"")"),"cũ Bikkuriman")</f>
        <v>cũ Bikkuriman</v>
      </c>
      <c r="E770" t="str">
        <f t="shared" ref="E770:E833" ca="1" si="12">CONCATENATE(CHAR(34)&amp;"",A770,""&amp;CHAR(34)," : ", CHAR(34)&amp;"",D770,""&amp;CHAR(34),",")</f>
        <v>"2084005616" : "cũ Bikkuriman",</v>
      </c>
    </row>
    <row r="771" spans="1:5" ht="15.75" customHeight="1">
      <c r="A771" s="6">
        <v>2084005618</v>
      </c>
      <c r="B771" s="7" t="s">
        <v>105</v>
      </c>
      <c r="C771" s="7" t="s">
        <v>1240</v>
      </c>
      <c r="D771" s="3" t="str">
        <f ca="1">IFERROR(__xludf.DUMMYFUNCTION("GOOGLETRANSLATE(B771,""ja"",""vi"")"),"nếu không thì")</f>
        <v>nếu không thì</v>
      </c>
      <c r="E771" t="str">
        <f t="shared" ca="1" si="12"/>
        <v>"2084005618" : "nếu không thì",</v>
      </c>
    </row>
    <row r="772" spans="1:5" ht="15.75" customHeight="1">
      <c r="A772" s="6">
        <v>25874</v>
      </c>
      <c r="B772" s="7" t="s">
        <v>1241</v>
      </c>
      <c r="C772" s="7" t="s">
        <v>1242</v>
      </c>
      <c r="D772" s="3" t="str">
        <f ca="1">IFERROR(__xludf.DUMMYFUNCTION("GOOGLETRANSLATE(B772,""ja"",""vi"")"),"McDonald")</f>
        <v>McDonald</v>
      </c>
      <c r="E772" t="str">
        <f t="shared" ca="1" si="12"/>
        <v>"25874" : "McDonald",</v>
      </c>
    </row>
    <row r="773" spans="1:5" ht="15.75" customHeight="1">
      <c r="A773" s="6">
        <v>27818</v>
      </c>
      <c r="B773" s="7" t="s">
        <v>1243</v>
      </c>
      <c r="C773" s="7" t="s">
        <v>1244</v>
      </c>
      <c r="D773" s="3" t="str">
        <f ca="1">IFERROR(__xludf.DUMMYFUNCTION("GOOGLETRANSLATE(B773,""ja"",""vi"")"),"Kentucky Fried Chicken")</f>
        <v>Kentucky Fried Chicken</v>
      </c>
      <c r="E773" t="str">
        <f t="shared" ca="1" si="12"/>
        <v>"27818" : "Kentucky Fried Chicken",</v>
      </c>
    </row>
    <row r="774" spans="1:5" ht="15.75" customHeight="1">
      <c r="A774" s="6">
        <v>25878</v>
      </c>
      <c r="B774" s="7" t="s">
        <v>1245</v>
      </c>
      <c r="C774" s="7" t="s">
        <v>1246</v>
      </c>
      <c r="D774" s="3" t="str">
        <f ca="1">IFERROR(__xludf.DUMMYFUNCTION("GOOGLETRANSLATE(B774,""ja"",""vi"")"),"Burger king")</f>
        <v>Burger king</v>
      </c>
      <c r="E774" t="str">
        <f t="shared" ca="1" si="12"/>
        <v>"25878" : "Burger king",</v>
      </c>
    </row>
    <row r="775" spans="1:5" ht="15.75" customHeight="1">
      <c r="A775" s="6">
        <v>2084005201</v>
      </c>
      <c r="B775" s="7" t="s">
        <v>1247</v>
      </c>
      <c r="C775" s="7" t="s">
        <v>1248</v>
      </c>
      <c r="D775" s="3" t="str">
        <f ca="1">IFERROR(__xludf.DUMMYFUNCTION("GOOGLETRANSLATE(B775,""ja"",""vi"")"),"Mister Donut")</f>
        <v>Mister Donut</v>
      </c>
      <c r="E775" t="str">
        <f t="shared" ca="1" si="12"/>
        <v>"2084005201" : "Mister Donut",</v>
      </c>
    </row>
    <row r="776" spans="1:5" ht="15.75" customHeight="1">
      <c r="A776" s="6">
        <v>25886</v>
      </c>
      <c r="B776" s="7" t="s">
        <v>105</v>
      </c>
      <c r="C776" s="7" t="s">
        <v>1249</v>
      </c>
      <c r="D776" s="3" t="str">
        <f ca="1">IFERROR(__xludf.DUMMYFUNCTION("GOOGLETRANSLATE(B776,""ja"",""vi"")"),"nếu không thì")</f>
        <v>nếu không thì</v>
      </c>
      <c r="E776" t="str">
        <f t="shared" ca="1" si="12"/>
        <v>"25886" : "nếu không thì",</v>
      </c>
    </row>
    <row r="777" spans="1:5" ht="15.75" customHeight="1">
      <c r="A777" s="6">
        <v>2084023782</v>
      </c>
      <c r="B777" s="7" t="s">
        <v>989</v>
      </c>
      <c r="C777" s="7" t="s">
        <v>990</v>
      </c>
      <c r="D777" s="3" t="str">
        <f ca="1">IFERROR(__xludf.DUMMYFUNCTION("GOOGLETRANSLATE(B777,""ja"",""vi"")"),"Truyện tranh, hoạt hình")</f>
        <v>Truyện tranh, hoạt hình</v>
      </c>
      <c r="E777" t="str">
        <f t="shared" ca="1" si="12"/>
        <v>"2084023782" : "Truyện tranh, hoạt hình",</v>
      </c>
    </row>
    <row r="778" spans="1:5" ht="15.75" customHeight="1">
      <c r="A778" s="6">
        <v>2084023622</v>
      </c>
      <c r="B778" s="7" t="s">
        <v>366</v>
      </c>
      <c r="C778" s="7" t="s">
        <v>991</v>
      </c>
      <c r="D778" s="3" t="str">
        <f ca="1">IFERROR(__xludf.DUMMYFUNCTION("GOOGLETRANSLATE(B778,""ja"",""vi"")"),"hiệu ứng đặc biệt")</f>
        <v>hiệu ứng đặc biệt</v>
      </c>
      <c r="E778" t="str">
        <f t="shared" ca="1" si="12"/>
        <v>"2084023622" : "hiệu ứng đặc biệt",</v>
      </c>
    </row>
    <row r="779" spans="1:5" ht="15.75" customHeight="1">
      <c r="A779" s="6">
        <v>2084040564</v>
      </c>
      <c r="B779" s="7" t="s">
        <v>992</v>
      </c>
      <c r="C779" s="7" t="s">
        <v>993</v>
      </c>
      <c r="D779" s="3" t="str">
        <f ca="1">IFERROR(__xludf.DUMMYFUNCTION("GOOGLETRANSLATE(B779,""ja"",""vi"")"),"nhân vật game")</f>
        <v>nhân vật game</v>
      </c>
      <c r="E779" t="str">
        <f t="shared" ca="1" si="12"/>
        <v>"2084040564" : "nhân vật game",</v>
      </c>
    </row>
    <row r="780" spans="1:5" ht="15.75" customHeight="1">
      <c r="A780" s="6">
        <v>2084023799</v>
      </c>
      <c r="B780" s="7" t="s">
        <v>994</v>
      </c>
      <c r="C780" s="7" t="s">
        <v>995</v>
      </c>
      <c r="D780" s="3" t="str">
        <f ca="1">IFERROR(__xludf.DUMMYFUNCTION("GOOGLETRANSLATE(B780,""ja"",""vi"")"),"SF, Fantasy, Horror")</f>
        <v>SF, Fantasy, Horror</v>
      </c>
      <c r="E780" t="str">
        <f t="shared" ca="1" si="12"/>
        <v>"2084023799" : "SF, Fantasy, Horror",</v>
      </c>
    </row>
    <row r="781" spans="1:5" ht="15.75" customHeight="1">
      <c r="A781" s="6">
        <v>21688</v>
      </c>
      <c r="B781" s="7" t="s">
        <v>996</v>
      </c>
      <c r="C781" s="7" t="s">
        <v>997</v>
      </c>
      <c r="D781" s="3" t="str">
        <f ca="1">IFERROR(__xludf.DUMMYFUNCTION("GOOGLETRANSLATE(B781,""ja"",""vi"")"),"truyện tranh Mỹ")</f>
        <v>truyện tranh Mỹ</v>
      </c>
      <c r="E781" t="str">
        <f t="shared" ca="1" si="12"/>
        <v>"21688" : "truyện tranh Mỹ",</v>
      </c>
    </row>
    <row r="782" spans="1:5" ht="15.75" customHeight="1">
      <c r="A782" s="6">
        <v>25892</v>
      </c>
      <c r="B782" s="7" t="s">
        <v>170</v>
      </c>
      <c r="C782" s="7" t="s">
        <v>998</v>
      </c>
      <c r="D782" s="3" t="str">
        <f ca="1">IFERROR(__xludf.DUMMYFUNCTION("GOOGLETRANSLATE(B782,""ja"",""vi"")"),"thể thao")</f>
        <v>thể thao</v>
      </c>
      <c r="E782" t="str">
        <f t="shared" ca="1" si="12"/>
        <v>"25892" : "thể thao",</v>
      </c>
    </row>
    <row r="783" spans="1:5" ht="15.75" customHeight="1">
      <c r="A783" s="6">
        <v>25890</v>
      </c>
      <c r="B783" s="7" t="s">
        <v>999</v>
      </c>
      <c r="C783" s="7" t="s">
        <v>1000</v>
      </c>
      <c r="D783" s="3" t="str">
        <f ca="1">IFERROR(__xludf.DUMMYFUNCTION("GOOGLETRANSLATE(B783,""ja"",""vi"")"),"quân đội")</f>
        <v>quân đội</v>
      </c>
      <c r="E783" t="str">
        <f t="shared" ca="1" si="12"/>
        <v>"25890" : "quân đội",</v>
      </c>
    </row>
    <row r="784" spans="1:5" ht="15.75" customHeight="1">
      <c r="A784" s="6">
        <v>2084063729</v>
      </c>
      <c r="B784" s="7" t="s">
        <v>1001</v>
      </c>
      <c r="C784" s="7" t="s">
        <v>1002</v>
      </c>
      <c r="D784" s="3" t="str">
        <f ca="1">IFERROR(__xludf.DUMMYFUNCTION("GOOGLETRANSLATE(B784,""ja"",""vi"")"),"vật sống")</f>
        <v>vật sống</v>
      </c>
      <c r="E784" t="str">
        <f t="shared" ca="1" si="12"/>
        <v>"2084063729" : "vật sống",</v>
      </c>
    </row>
    <row r="785" spans="1:5" ht="15.75" customHeight="1">
      <c r="A785" s="6">
        <v>2084023795</v>
      </c>
      <c r="B785" s="7" t="s">
        <v>1003</v>
      </c>
      <c r="C785" s="7" t="s">
        <v>1004</v>
      </c>
      <c r="D785" s="3" t="str">
        <f ca="1">IFERROR(__xludf.DUMMYFUNCTION("GOOGLETRANSLATE(B785,""ja"",""vi"")"),"Giải trí, tài năng")</f>
        <v>Giải trí, tài năng</v>
      </c>
      <c r="E785" t="str">
        <f t="shared" ca="1" si="12"/>
        <v>"2084023795" : "Giải trí, tài năng",</v>
      </c>
    </row>
    <row r="786" spans="1:5" ht="15.75" customHeight="1">
      <c r="A786" s="6">
        <v>2084042426</v>
      </c>
      <c r="B786" s="7" t="s">
        <v>1005</v>
      </c>
      <c r="C786" s="7" t="s">
        <v>1006</v>
      </c>
      <c r="D786" s="3" t="str">
        <f ca="1">IFERROR(__xludf.DUMMYFUNCTION("GOOGLETRANSLATE(B786,""ja"",""vi"")"),"chơi lịch sử")</f>
        <v>chơi lịch sử</v>
      </c>
      <c r="E786" t="str">
        <f t="shared" ca="1" si="12"/>
        <v>"2084042426" : "chơi lịch sử",</v>
      </c>
    </row>
    <row r="787" spans="1:5" ht="15.75" customHeight="1">
      <c r="A787" s="6">
        <v>2084023831</v>
      </c>
      <c r="B787" s="7" t="s">
        <v>1007</v>
      </c>
      <c r="C787" s="7" t="s">
        <v>1008</v>
      </c>
      <c r="D787" s="3" t="str">
        <f ca="1">IFERROR(__xludf.DUMMYFUNCTION("GOOGLETRANSLATE(B787,""ja"",""vi"")"),"Sáng tạo, ban đầu")</f>
        <v>Sáng tạo, ban đầu</v>
      </c>
      <c r="E787" t="str">
        <f t="shared" ca="1" si="12"/>
        <v>"2084023831" : "Sáng tạo, ban đầu",</v>
      </c>
    </row>
    <row r="788" spans="1:5" ht="15.75" customHeight="1">
      <c r="A788" s="6">
        <v>25870</v>
      </c>
      <c r="B788" s="7" t="s">
        <v>1009</v>
      </c>
      <c r="C788" s="7" t="s">
        <v>1010</v>
      </c>
      <c r="D788" s="3" t="str">
        <f ca="1">IFERROR(__xludf.DUMMYFUNCTION("GOOGLETRANSLATE(B788,""ja"",""vi"")"),"nhân vật búp bê")</f>
        <v>nhân vật búp bê</v>
      </c>
      <c r="E788" t="str">
        <f t="shared" ca="1" si="12"/>
        <v>"25870" : "nhân vật búp bê",</v>
      </c>
    </row>
    <row r="789" spans="1:5" ht="15.75" customHeight="1">
      <c r="A789" s="6">
        <v>2084309436</v>
      </c>
      <c r="B789" s="7" t="s">
        <v>105</v>
      </c>
      <c r="C789" s="7" t="s">
        <v>1011</v>
      </c>
      <c r="D789" s="3" t="str">
        <f ca="1">IFERROR(__xludf.DUMMYFUNCTION("GOOGLETRANSLATE(B789,""ja"",""vi"")"),"nếu không thì")</f>
        <v>nếu không thì</v>
      </c>
      <c r="E789" t="str">
        <f t="shared" ca="1" si="12"/>
        <v>"2084309436" : "nếu không thì",</v>
      </c>
    </row>
    <row r="790" spans="1:5" ht="15.75" customHeight="1">
      <c r="A790" s="6">
        <v>2084260114</v>
      </c>
      <c r="B790" s="7" t="s">
        <v>1250</v>
      </c>
      <c r="C790" s="7" t="s">
        <v>1251</v>
      </c>
      <c r="D790" s="3" t="str">
        <f ca="1">IFERROR(__xludf.DUMMYFUNCTION("GOOGLETRANSLATE(B790,""ja"",""vi"")"),"xe hơi")</f>
        <v>xe hơi</v>
      </c>
      <c r="E790" t="str">
        <f t="shared" ca="1" si="12"/>
        <v>"2084260114" : "xe hơi",</v>
      </c>
    </row>
    <row r="791" spans="1:5" ht="15.75" customHeight="1">
      <c r="A791" s="6">
        <v>2084260189</v>
      </c>
      <c r="B791" s="7" t="s">
        <v>1252</v>
      </c>
      <c r="C791" s="7" t="s">
        <v>1253</v>
      </c>
      <c r="D791" s="3" t="str">
        <f ca="1">IFERROR(__xludf.DUMMYFUNCTION("GOOGLETRANSLATE(B791,""ja"",""vi"")"),"xe mô tô")</f>
        <v>xe mô tô</v>
      </c>
      <c r="E791" t="str">
        <f t="shared" ca="1" si="12"/>
        <v>"2084260189" : "xe mô tô",</v>
      </c>
    </row>
    <row r="792" spans="1:5" ht="15.75" customHeight="1">
      <c r="A792" s="6">
        <v>2084260185</v>
      </c>
      <c r="B792" s="7" t="s">
        <v>1254</v>
      </c>
      <c r="C792" s="7" t="s">
        <v>1255</v>
      </c>
      <c r="D792" s="3" t="str">
        <f ca="1">IFERROR(__xludf.DUMMYFUNCTION("GOOGLETRANSLATE(B792,""ja"",""vi"")"),"xe xây dựng, bảo trì xe")</f>
        <v>xe xây dựng, bảo trì xe</v>
      </c>
      <c r="E792" t="str">
        <f t="shared" ca="1" si="12"/>
        <v>"2084260185" : "xe xây dựng, bảo trì xe",</v>
      </c>
    </row>
    <row r="793" spans="1:5" ht="15.75" customHeight="1">
      <c r="A793" s="6">
        <v>2084260186</v>
      </c>
      <c r="B793" s="7" t="s">
        <v>1256</v>
      </c>
      <c r="C793" s="7" t="s">
        <v>1257</v>
      </c>
      <c r="D793" s="3" t="str">
        <f ca="1">IFERROR(__xludf.DUMMYFUNCTION("GOOGLETRANSLATE(B793,""ja"",""vi"")"),"phi cơ")</f>
        <v>phi cơ</v>
      </c>
      <c r="E793" t="str">
        <f t="shared" ca="1" si="12"/>
        <v>"2084260186" : "phi cơ",</v>
      </c>
    </row>
    <row r="794" spans="1:5" ht="15.75" customHeight="1">
      <c r="A794" s="6">
        <v>2084260191</v>
      </c>
      <c r="B794" s="7" t="s">
        <v>1258</v>
      </c>
      <c r="C794" s="7" t="s">
        <v>1259</v>
      </c>
      <c r="D794" s="3" t="str">
        <f ca="1">IFERROR(__xludf.DUMMYFUNCTION("GOOGLETRANSLATE(B794,""ja"",""vi"")"),"Xe tăng, xe quân sự")</f>
        <v>Xe tăng, xe quân sự</v>
      </c>
      <c r="E794" t="str">
        <f t="shared" ca="1" si="12"/>
        <v>"2084260191" : "Xe tăng, xe quân sự",</v>
      </c>
    </row>
    <row r="795" spans="1:5" ht="15.75" customHeight="1">
      <c r="A795" s="6">
        <v>2084260190</v>
      </c>
      <c r="B795" s="7" t="s">
        <v>1260</v>
      </c>
      <c r="C795" s="7" t="s">
        <v>1261</v>
      </c>
      <c r="D795" s="3" t="str">
        <f ca="1">IFERROR(__xludf.DUMMYFUNCTION("GOOGLETRANSLATE(B795,""ja"",""vi"")"),"Tàu, thuyền")</f>
        <v>Tàu, thuyền</v>
      </c>
      <c r="E795" t="str">
        <f t="shared" ca="1" si="12"/>
        <v>"2084260190" : "Tàu, thuyền",</v>
      </c>
    </row>
    <row r="796" spans="1:5" ht="15.75" customHeight="1">
      <c r="A796" s="6">
        <v>2084315793</v>
      </c>
      <c r="B796" s="7" t="s">
        <v>1262</v>
      </c>
      <c r="C796" s="7" t="s">
        <v>1263</v>
      </c>
      <c r="D796" s="3" t="str">
        <f ca="1">IFERROR(__xludf.DUMMYFUNCTION("GOOGLETRANSLATE(B796,""ja"",""vi"")"),"Nintendo công tắc")</f>
        <v>Nintendo công tắc</v>
      </c>
      <c r="E796" t="str">
        <f t="shared" ca="1" si="12"/>
        <v>"2084315793" : "Nintendo công tắc",</v>
      </c>
    </row>
    <row r="797" spans="1:5" ht="15.75" customHeight="1">
      <c r="A797" s="6">
        <v>2084315791</v>
      </c>
      <c r="B797" s="7" t="s">
        <v>1264</v>
      </c>
      <c r="C797" s="7" t="s">
        <v>1265</v>
      </c>
      <c r="D797" s="3" t="str">
        <f ca="1">IFERROR(__xludf.DUMMYFUNCTION("GOOGLETRANSLATE(B797,""ja"",""vi"")"),"Nintendo cổ điển Mini")</f>
        <v>Nintendo cổ điển Mini</v>
      </c>
      <c r="E797" t="str">
        <f t="shared" ca="1" si="12"/>
        <v>"2084315791" : "Nintendo cổ điển Mini",</v>
      </c>
    </row>
    <row r="798" spans="1:5" ht="15.75" customHeight="1">
      <c r="A798" s="6">
        <v>2084290226</v>
      </c>
      <c r="B798" s="7" t="s">
        <v>1266</v>
      </c>
      <c r="C798" s="7" t="s">
        <v>1267</v>
      </c>
      <c r="D798" s="3" t="str">
        <f ca="1">IFERROR(__xludf.DUMMYFUNCTION("GOOGLETRANSLATE(B798,""ja"",""vi"")"),"Nintendo 3DS")</f>
        <v>Nintendo 3DS</v>
      </c>
      <c r="E798" t="str">
        <f t="shared" ca="1" si="12"/>
        <v>"2084290226" : "Nintendo 3DS",</v>
      </c>
    </row>
    <row r="799" spans="1:5" ht="15.75" customHeight="1">
      <c r="A799" s="6">
        <v>2084056539</v>
      </c>
      <c r="B799" s="7" t="s">
        <v>113</v>
      </c>
      <c r="C799" s="7" t="s">
        <v>1268</v>
      </c>
      <c r="D799" s="3" t="str">
        <f ca="1">IFERROR(__xludf.DUMMYFUNCTION("GOOGLETRANSLATE(B799,""ja"",""vi"")"),"Nintendo DS")</f>
        <v>Nintendo DS</v>
      </c>
      <c r="E799" t="str">
        <f t="shared" ca="1" si="12"/>
        <v>"2084056539" : "Nintendo DS",</v>
      </c>
    </row>
    <row r="800" spans="1:5" ht="15.75" customHeight="1">
      <c r="A800" s="6">
        <v>2084310052</v>
      </c>
      <c r="B800" s="7" t="s">
        <v>1269</v>
      </c>
      <c r="C800" s="7" t="s">
        <v>1270</v>
      </c>
      <c r="D800" s="3" t="str">
        <f ca="1">IFERROR(__xludf.DUMMYFUNCTION("GOOGLETRANSLATE(B800,""ja"",""vi"")"),"Wii U")</f>
        <v>Wii U</v>
      </c>
      <c r="E800" t="str">
        <f t="shared" ca="1" si="12"/>
        <v>"2084310052" : "Wii U",</v>
      </c>
    </row>
    <row r="801" spans="1:5" ht="15.75" customHeight="1">
      <c r="A801" s="6">
        <v>2084217064</v>
      </c>
      <c r="B801" s="7" t="s">
        <v>1271</v>
      </c>
      <c r="C801" s="7" t="s">
        <v>1272</v>
      </c>
      <c r="D801" s="3" t="str">
        <f ca="1">IFERROR(__xludf.DUMMYFUNCTION("GOOGLETRANSLATE(B801,""ja"",""vi"")"),"Wii")</f>
        <v>Wii</v>
      </c>
      <c r="E801" t="str">
        <f t="shared" ca="1" si="12"/>
        <v>"2084217064" : "Wii",</v>
      </c>
    </row>
    <row r="802" spans="1:5" ht="15.75" customHeight="1">
      <c r="A802" s="6">
        <v>2084301277</v>
      </c>
      <c r="B802" s="7" t="s">
        <v>1273</v>
      </c>
      <c r="C802" s="7" t="s">
        <v>1274</v>
      </c>
      <c r="D802" s="3" t="str">
        <f ca="1">IFERROR(__xludf.DUMMYFUNCTION("GOOGLETRANSLATE(B802,""ja"",""vi"")"),"PS Vita")</f>
        <v>PS Vita</v>
      </c>
      <c r="E802" t="str">
        <f t="shared" ca="1" si="12"/>
        <v>"2084301277" : "PS Vita",</v>
      </c>
    </row>
    <row r="803" spans="1:5" ht="15.75" customHeight="1">
      <c r="A803" s="6">
        <v>2084057109</v>
      </c>
      <c r="B803" s="7" t="s">
        <v>111</v>
      </c>
      <c r="C803" s="7" t="s">
        <v>1275</v>
      </c>
      <c r="D803" s="3" t="str">
        <f ca="1">IFERROR(__xludf.DUMMYFUNCTION("GOOGLETRANSLATE(B803,""ja"",""vi"")"),"PSP (PlayStation Portable)")</f>
        <v>PSP (PlayStation Portable)</v>
      </c>
      <c r="E803" t="str">
        <f t="shared" ca="1" si="12"/>
        <v>"2084057109" : "PSP (PlayStation Portable)",</v>
      </c>
    </row>
    <row r="804" spans="1:5" ht="15.75" customHeight="1">
      <c r="A804" s="6">
        <v>2084313826</v>
      </c>
      <c r="B804" s="7" t="s">
        <v>1276</v>
      </c>
      <c r="C804" s="7" t="s">
        <v>1277</v>
      </c>
      <c r="D804" s="3" t="str">
        <f ca="1">IFERROR(__xludf.DUMMYFUNCTION("GOOGLETRANSLATE(B804,""ja"",""vi"")"),"PlayStation 4")</f>
        <v>PlayStation 4</v>
      </c>
      <c r="E804" t="str">
        <f t="shared" ca="1" si="12"/>
        <v>"2084313826" : "PlayStation 4",</v>
      </c>
    </row>
    <row r="805" spans="1:5" ht="15.75" customHeight="1">
      <c r="A805" s="6">
        <v>2084216435</v>
      </c>
      <c r="B805" s="7" t="s">
        <v>1278</v>
      </c>
      <c r="C805" s="7" t="s">
        <v>1279</v>
      </c>
      <c r="D805" s="3" t="str">
        <f ca="1">IFERROR(__xludf.DUMMYFUNCTION("GOOGLETRANSLATE(B805,""ja"",""vi"")"),"PlayStation 3")</f>
        <v>PlayStation 3</v>
      </c>
      <c r="E805" t="str">
        <f t="shared" ca="1" si="12"/>
        <v>"2084216435" : "PlayStation 3",</v>
      </c>
    </row>
    <row r="806" spans="1:5" ht="15.75" customHeight="1">
      <c r="A806" s="6">
        <v>2084006668</v>
      </c>
      <c r="B806" s="7" t="s">
        <v>1280</v>
      </c>
      <c r="C806" s="7" t="s">
        <v>1281</v>
      </c>
      <c r="D806" s="3" t="str">
        <f ca="1">IFERROR(__xludf.DUMMYFUNCTION("GOOGLETRANSLATE(B806,""ja"",""vi"")"),"PlayStation 2")</f>
        <v>PlayStation 2</v>
      </c>
      <c r="E806" t="str">
        <f t="shared" ca="1" si="12"/>
        <v>"2084006668" : "PlayStation 2",</v>
      </c>
    </row>
    <row r="807" spans="1:5" ht="15.75" customHeight="1">
      <c r="A807" s="6">
        <v>2084314664</v>
      </c>
      <c r="B807" s="7" t="s">
        <v>1282</v>
      </c>
      <c r="C807" s="7" t="s">
        <v>1283</v>
      </c>
      <c r="D807" s="3" t="str">
        <f ca="1">IFERROR(__xludf.DUMMYFUNCTION("GOOGLETRANSLATE(B807,""ja"",""vi"")"),"Xbox One")</f>
        <v>Xbox One</v>
      </c>
      <c r="E807" t="str">
        <f t="shared" ca="1" si="12"/>
        <v>"2084314664" : "Xbox One",</v>
      </c>
    </row>
    <row r="808" spans="1:5" ht="15.75" customHeight="1">
      <c r="A808" s="6">
        <v>2084235546</v>
      </c>
      <c r="B808" s="7" t="s">
        <v>1284</v>
      </c>
      <c r="C808" s="7" t="s">
        <v>1285</v>
      </c>
      <c r="D808" s="3" t="str">
        <f ca="1">IFERROR(__xludf.DUMMYFUNCTION("GOOGLETRANSLATE(B808,""ja"",""vi"")"),"Xbox 360")</f>
        <v>Xbox 360</v>
      </c>
      <c r="E808" t="str">
        <f t="shared" ca="1" si="12"/>
        <v>"2084235546" : "Xbox 360",</v>
      </c>
    </row>
    <row r="809" spans="1:5" ht="15.75" customHeight="1">
      <c r="A809" s="6">
        <v>22860</v>
      </c>
      <c r="B809" s="7" t="s">
        <v>1286</v>
      </c>
      <c r="C809" s="7" t="s">
        <v>1287</v>
      </c>
      <c r="D809" s="3" t="str">
        <f ca="1">IFERROR(__xludf.DUMMYFUNCTION("GOOGLETRANSLATE(B809,""ja"",""vi"")"),"Playstation")</f>
        <v>Playstation</v>
      </c>
      <c r="E809" t="str">
        <f t="shared" ca="1" si="12"/>
        <v>"22860" : "Playstation",</v>
      </c>
    </row>
    <row r="810" spans="1:5" ht="15.75" customHeight="1">
      <c r="A810" s="6">
        <v>2084041580</v>
      </c>
      <c r="B810" s="7" t="s">
        <v>115</v>
      </c>
      <c r="C810" s="7" t="s">
        <v>1288</v>
      </c>
      <c r="D810" s="3" t="str">
        <f ca="1">IFERROR(__xludf.DUMMYFUNCTION("GOOGLETRANSLATE(B810,""ja"",""vi"")"),"Game Boy Advance")</f>
        <v>Game Boy Advance</v>
      </c>
      <c r="E810" t="str">
        <f t="shared" ca="1" si="12"/>
        <v>"2084041580" : "Game Boy Advance",</v>
      </c>
    </row>
    <row r="811" spans="1:5" ht="15.75" customHeight="1">
      <c r="A811" s="6">
        <v>2084063616</v>
      </c>
      <c r="B811" s="7" t="s">
        <v>1289</v>
      </c>
      <c r="C811" s="7" t="s">
        <v>1290</v>
      </c>
      <c r="D811" s="3" t="str">
        <f ca="1">IFERROR(__xludf.DUMMYFUNCTION("GOOGLETRANSLATE(B811,""ja"",""vi"")"),"Game Boy Micro")</f>
        <v>Game Boy Micro</v>
      </c>
      <c r="E811" t="str">
        <f t="shared" ca="1" si="12"/>
        <v>"2084063616" : "Game Boy Micro",</v>
      </c>
    </row>
    <row r="812" spans="1:5" ht="15.75" customHeight="1">
      <c r="A812" s="6">
        <v>27812</v>
      </c>
      <c r="B812" s="7" t="s">
        <v>117</v>
      </c>
      <c r="C812" s="7" t="s">
        <v>1291</v>
      </c>
      <c r="D812" s="3" t="str">
        <f ca="1">IFERROR(__xludf.DUMMYFUNCTION("GOOGLETRANSLATE(B812,""ja"",""vi"")"),"game Boy")</f>
        <v>game Boy</v>
      </c>
      <c r="E812" t="str">
        <f t="shared" ca="1" si="12"/>
        <v>"27812" : "game Boy",</v>
      </c>
    </row>
    <row r="813" spans="1:5" ht="15.75" customHeight="1">
      <c r="A813" s="6">
        <v>2084045784</v>
      </c>
      <c r="B813" s="7" t="s">
        <v>1292</v>
      </c>
      <c r="C813" s="7" t="s">
        <v>1293</v>
      </c>
      <c r="D813" s="3" t="str">
        <f ca="1">IFERROR(__xludf.DUMMYFUNCTION("GOOGLETRANSLATE(B813,""ja"",""vi"")"),"GameCube")</f>
        <v>GameCube</v>
      </c>
      <c r="E813" t="str">
        <f t="shared" ca="1" si="12"/>
        <v>"2084045784" : "GameCube",</v>
      </c>
    </row>
    <row r="814" spans="1:5" ht="15.75" customHeight="1">
      <c r="A814" s="6">
        <v>22850</v>
      </c>
      <c r="B814" s="7" t="s">
        <v>1294</v>
      </c>
      <c r="C814" s="7" t="s">
        <v>1295</v>
      </c>
      <c r="D814" s="3" t="str">
        <f ca="1">IFERROR(__xludf.DUMMYFUNCTION("GOOGLETRANSLATE(B814,""ja"",""vi"")"),"NINTENDO 64")</f>
        <v>NINTENDO 64</v>
      </c>
      <c r="E814" t="str">
        <f t="shared" ca="1" si="12"/>
        <v>"22850" : "NINTENDO 64",</v>
      </c>
    </row>
    <row r="815" spans="1:5" ht="15.75" customHeight="1">
      <c r="A815" s="6">
        <v>22852</v>
      </c>
      <c r="B815" s="7" t="s">
        <v>1296</v>
      </c>
      <c r="C815" s="7" t="s">
        <v>1297</v>
      </c>
      <c r="D815" s="3" t="str">
        <f ca="1">IFERROR(__xludf.DUMMYFUNCTION("GOOGLETRANSLATE(B815,""ja"",""vi"")"),"SNES")</f>
        <v>SNES</v>
      </c>
      <c r="E815" t="str">
        <f t="shared" ca="1" si="12"/>
        <v>"22852" : "SNES",</v>
      </c>
    </row>
    <row r="816" spans="1:5" ht="15.75" customHeight="1">
      <c r="A816" s="6">
        <v>22853</v>
      </c>
      <c r="B816" s="7" t="s">
        <v>1298</v>
      </c>
      <c r="C816" s="7" t="s">
        <v>1299</v>
      </c>
      <c r="D816" s="3" t="str">
        <f ca="1">IFERROR(__xludf.DUMMYFUNCTION("GOOGLETRANSLATE(B816,""ja"",""vi"")"),"NES")</f>
        <v>NES</v>
      </c>
      <c r="E816" t="str">
        <f t="shared" ca="1" si="12"/>
        <v>"22853" : "NES",</v>
      </c>
    </row>
    <row r="817" spans="1:5" ht="15.75" customHeight="1">
      <c r="A817" s="6">
        <v>2084047852</v>
      </c>
      <c r="B817" s="7" t="s">
        <v>1300</v>
      </c>
      <c r="C817" s="7" t="s">
        <v>1301</v>
      </c>
      <c r="D817" s="3" t="str">
        <f ca="1">IFERROR(__xludf.DUMMYFUNCTION("GOOGLETRANSLATE(B817,""ja"",""vi"")"),"Xbox")</f>
        <v>Xbox</v>
      </c>
      <c r="E817" t="str">
        <f t="shared" ca="1" si="12"/>
        <v>"2084047852" : "Xbox",</v>
      </c>
    </row>
    <row r="818" spans="1:5" ht="15.75" customHeight="1">
      <c r="A818" s="6">
        <v>40505</v>
      </c>
      <c r="B818" s="7" t="s">
        <v>1302</v>
      </c>
      <c r="C818" s="7" t="s">
        <v>1303</v>
      </c>
      <c r="D818" s="3" t="str">
        <f ca="1">IFERROR(__xludf.DUMMYFUNCTION("GOOGLETRANSLATE(B818,""ja"",""vi"")"),"Sega")</f>
        <v>Sega</v>
      </c>
      <c r="E818" t="str">
        <f t="shared" ca="1" si="12"/>
        <v>"40505" : "Sega",</v>
      </c>
    </row>
    <row r="819" spans="1:5" ht="15.75" customHeight="1">
      <c r="A819" s="6">
        <v>2084005537</v>
      </c>
      <c r="B819" s="7" t="s">
        <v>1304</v>
      </c>
      <c r="C819" s="7" t="s">
        <v>1305</v>
      </c>
      <c r="D819" s="3" t="str">
        <f ca="1">IFERROR(__xludf.DUMMYFUNCTION("GOOGLETRANSLATE(B819,""ja"",""vi"")"),"NeoGeo")</f>
        <v>NeoGeo</v>
      </c>
      <c r="E819" t="str">
        <f t="shared" ca="1" si="12"/>
        <v>"2084005537" : "NeoGeo",</v>
      </c>
    </row>
    <row r="820" spans="1:5" ht="15.75" customHeight="1">
      <c r="A820" s="6">
        <v>2084005532</v>
      </c>
      <c r="B820" s="7" t="s">
        <v>1306</v>
      </c>
      <c r="C820" s="7" t="s">
        <v>1307</v>
      </c>
      <c r="D820" s="3" t="str">
        <f ca="1">IFERROR(__xludf.DUMMYFUNCTION("GOOGLETRANSLATE(B820,""ja"",""vi"")"),"3DO")</f>
        <v>3DO</v>
      </c>
      <c r="E820" t="str">
        <f t="shared" ca="1" si="12"/>
        <v>"2084005532" : "3DO",</v>
      </c>
    </row>
    <row r="821" spans="1:5" ht="15.75" customHeight="1">
      <c r="A821" s="6">
        <v>2084006676</v>
      </c>
      <c r="B821" s="7" t="s">
        <v>1308</v>
      </c>
      <c r="C821" s="7" t="s">
        <v>1309</v>
      </c>
      <c r="D821" s="3" t="str">
        <f ca="1">IFERROR(__xludf.DUMMYFUNCTION("GOOGLETRANSLATE(B821,""ja"",""vi"")"),"NEC")</f>
        <v>NEC</v>
      </c>
      <c r="E821" t="str">
        <f t="shared" ca="1" si="12"/>
        <v>"2084006676" : "NEC",</v>
      </c>
    </row>
    <row r="822" spans="1:5" ht="15.75" customHeight="1">
      <c r="A822" s="6">
        <v>22864</v>
      </c>
      <c r="B822" s="7" t="s">
        <v>1310</v>
      </c>
      <c r="C822" s="7" t="s">
        <v>1311</v>
      </c>
      <c r="D822" s="3" t="str">
        <f ca="1">IFERROR(__xludf.DUMMYFUNCTION("GOOGLETRANSLATE(B822,""ja"",""vi"")"),"di động")</f>
        <v>di động</v>
      </c>
      <c r="E822" t="str">
        <f t="shared" ca="1" si="12"/>
        <v>"22864" : "di động",</v>
      </c>
    </row>
    <row r="823" spans="1:5" ht="15.75" customHeight="1">
      <c r="A823" s="6">
        <v>2084047781</v>
      </c>
      <c r="B823" s="7" t="s">
        <v>1312</v>
      </c>
      <c r="C823" s="7" t="s">
        <v>1313</v>
      </c>
      <c r="D823" s="3" t="str">
        <f ca="1">IFERROR(__xludf.DUMMYFUNCTION("GOOGLETRANSLATE(B823,""ja"",""vi"")"),"Arcade trò chơi")</f>
        <v>Arcade trò chơi</v>
      </c>
      <c r="E823" t="str">
        <f t="shared" ca="1" si="12"/>
        <v>"2084047781" : "Arcade trò chơi",</v>
      </c>
    </row>
    <row r="824" spans="1:5" ht="15.75" customHeight="1">
      <c r="A824" s="6">
        <v>2084005147</v>
      </c>
      <c r="B824" s="7" t="s">
        <v>1314</v>
      </c>
      <c r="C824" s="7" t="s">
        <v>1315</v>
      </c>
      <c r="D824" s="3" t="str">
        <f ca="1">IFERROR(__xludf.DUMMYFUNCTION("GOOGLETRANSLATE(B824,""ja"",""vi"")"),"CD nhạc trò chơi")</f>
        <v>CD nhạc trò chơi</v>
      </c>
      <c r="E824" t="str">
        <f t="shared" ca="1" si="12"/>
        <v>"2084005147" : "CD nhạc trò chơi",</v>
      </c>
    </row>
    <row r="825" spans="1:5" ht="15.75" customHeight="1">
      <c r="A825" s="6">
        <v>2084009067</v>
      </c>
      <c r="B825" s="7" t="s">
        <v>1316</v>
      </c>
      <c r="C825" s="7" t="s">
        <v>1317</v>
      </c>
      <c r="D825" s="3" t="str">
        <f ca="1">IFERROR(__xludf.DUMMYFUNCTION("GOOGLETRANSLATE(B825,""ja"",""vi"")"),"Chiến lược trò chơi")</f>
        <v>Chiến lược trò chơi</v>
      </c>
      <c r="E825" t="str">
        <f t="shared" ca="1" si="12"/>
        <v>"2084009067" : "Chiến lược trò chơi",</v>
      </c>
    </row>
    <row r="826" spans="1:5" ht="15.75" customHeight="1">
      <c r="A826" s="6">
        <v>2084047654</v>
      </c>
      <c r="B826" s="7" t="s">
        <v>166</v>
      </c>
      <c r="C826" s="7" t="s">
        <v>1318</v>
      </c>
      <c r="D826" s="3" t="str">
        <f ca="1">IFERROR(__xludf.DUMMYFUNCTION("GOOGLETRANSLATE(B826,""ja"",""vi"")"),"tạp chí game")</f>
        <v>tạp chí game</v>
      </c>
      <c r="E826" t="str">
        <f t="shared" ca="1" si="12"/>
        <v>"2084047654" : "tạp chí game",</v>
      </c>
    </row>
    <row r="827" spans="1:5" ht="15.75" customHeight="1">
      <c r="A827" s="6">
        <v>2084005119</v>
      </c>
      <c r="B827" s="7" t="s">
        <v>1163</v>
      </c>
      <c r="C827" s="7" t="s">
        <v>1319</v>
      </c>
      <c r="D827" s="3" t="str">
        <f ca="1">IFERROR(__xludf.DUMMYFUNCTION("GOOGLETRANSLATE(B827,""ja"",""vi"")"),"thẻ điện thoại")</f>
        <v>thẻ điện thoại</v>
      </c>
      <c r="E827" t="str">
        <f t="shared" ca="1" si="12"/>
        <v>"2084005119" : "thẻ điện thoại",</v>
      </c>
    </row>
    <row r="828" spans="1:5" ht="15.75" customHeight="1">
      <c r="A828" s="6">
        <v>22892</v>
      </c>
      <c r="B828" s="7" t="s">
        <v>105</v>
      </c>
      <c r="C828" s="7" t="s">
        <v>1320</v>
      </c>
      <c r="D828" s="3" t="str">
        <f ca="1">IFERROR(__xludf.DUMMYFUNCTION("GOOGLETRANSLATE(B828,""ja"",""vi"")"),"nếu không thì")</f>
        <v>nếu không thì</v>
      </c>
      <c r="E828" t="str">
        <f t="shared" ca="1" si="12"/>
        <v>"22892" : "nếu không thì",</v>
      </c>
    </row>
    <row r="829" spans="1:5" ht="15.75" customHeight="1">
      <c r="A829" s="6">
        <v>2084047782</v>
      </c>
      <c r="B829" s="7" t="s">
        <v>127</v>
      </c>
      <c r="C829" s="7" t="s">
        <v>128</v>
      </c>
      <c r="D829" s="3" t="str">
        <f ca="1">IFERROR(__xludf.DUMMYFUNCTION("GOOGLETRANSLATE(B829,""ja"",""vi"")"),"Ban trò chơi")</f>
        <v>Ban trò chơi</v>
      </c>
      <c r="E829" t="str">
        <f t="shared" ca="1" si="12"/>
        <v>"2084047782" : "Ban trò chơi",</v>
      </c>
    </row>
    <row r="830" spans="1:5" ht="15.75" customHeight="1">
      <c r="A830" s="6">
        <v>2084047783</v>
      </c>
      <c r="B830" s="7" t="s">
        <v>129</v>
      </c>
      <c r="C830" s="7" t="s">
        <v>130</v>
      </c>
      <c r="D830" s="3" t="str">
        <f ca="1">IFERROR(__xludf.DUMMYFUNCTION("GOOGLETRANSLATE(B830,""ja"",""vi"")"),"Nhà ở, bảng điều khiển")</f>
        <v>Nhà ở, bảng điều khiển</v>
      </c>
      <c r="E830" t="str">
        <f t="shared" ca="1" si="12"/>
        <v>"2084047783" : "Nhà ở, bảng điều khiển",</v>
      </c>
    </row>
    <row r="831" spans="1:5" ht="15.75" customHeight="1">
      <c r="A831" s="6">
        <v>2084245563</v>
      </c>
      <c r="B831" s="7" t="s">
        <v>131</v>
      </c>
      <c r="C831" s="7" t="s">
        <v>132</v>
      </c>
      <c r="D831" s="3" t="str">
        <f ca="1">IFERROR(__xludf.DUMMYFUNCTION("GOOGLETRANSLATE(B831,""ja"",""vi"")"),"thẻ IC")</f>
        <v>thẻ IC</v>
      </c>
      <c r="E831" t="str">
        <f t="shared" ca="1" si="12"/>
        <v>"2084245563" : "thẻ IC",</v>
      </c>
    </row>
    <row r="832" spans="1:5" ht="15.75" customHeight="1">
      <c r="A832" s="6">
        <v>2084245564</v>
      </c>
      <c r="B832" s="7" t="s">
        <v>133</v>
      </c>
      <c r="C832" s="7" t="s">
        <v>134</v>
      </c>
      <c r="D832" s="3" t="str">
        <f ca="1">IFERROR(__xludf.DUMMYFUNCTION("GOOGLETRANSLATE(B832,""ja"",""vi"")"),"Catalogue, hướng dẫn")</f>
        <v>Catalogue, hướng dẫn</v>
      </c>
      <c r="E832" t="str">
        <f t="shared" ca="1" si="12"/>
        <v>"2084245564" : "Catalogue, hướng dẫn",</v>
      </c>
    </row>
    <row r="833" spans="1:5" ht="15.75" customHeight="1">
      <c r="A833" s="6">
        <v>2084245561</v>
      </c>
      <c r="B833" s="7" t="s">
        <v>135</v>
      </c>
      <c r="C833" s="7" t="s">
        <v>136</v>
      </c>
      <c r="D833" s="3" t="str">
        <f ca="1">IFERROR(__xludf.DUMMYFUNCTION("GOOGLETRANSLATE(B833,""ja"",""vi"")"),"poster")</f>
        <v>poster</v>
      </c>
      <c r="E833" t="str">
        <f t="shared" ca="1" si="12"/>
        <v>"2084245561" : "poster",</v>
      </c>
    </row>
    <row r="834" spans="1:5" ht="15.75" customHeight="1">
      <c r="A834" s="6">
        <v>2084245562</v>
      </c>
      <c r="B834" s="7" t="s">
        <v>137</v>
      </c>
      <c r="C834" s="7" t="s">
        <v>138</v>
      </c>
      <c r="D834" s="3" t="str">
        <f ca="1">IFERROR(__xludf.DUMMYFUNCTION("GOOGLETRANSLATE(B834,""ja"",""vi"")"),"Pop, Lắp đặt")</f>
        <v>Pop, Lắp đặt</v>
      </c>
      <c r="E834" t="str">
        <f t="shared" ref="E834:E897" ca="1" si="13">CONCATENATE(CHAR(34)&amp;"",A834,""&amp;CHAR(34)," : ", CHAR(34)&amp;"",D834,""&amp;CHAR(34),",")</f>
        <v>"2084245562" : "Pop, Lắp đặt",</v>
      </c>
    </row>
    <row r="835" spans="1:5" ht="15.75" customHeight="1">
      <c r="A835" s="6">
        <v>2084050457</v>
      </c>
      <c r="B835" s="7" t="s">
        <v>139</v>
      </c>
      <c r="C835" s="7" t="s">
        <v>140</v>
      </c>
      <c r="D835" s="3" t="str">
        <f ca="1">IFERROR(__xludf.DUMMYFUNCTION("GOOGLETRANSLATE(B835,""ja"",""vi"")"),"WCCF")</f>
        <v>WCCF</v>
      </c>
      <c r="E835" t="str">
        <f t="shared" ca="1" si="13"/>
        <v>"2084050457" : "WCCF",</v>
      </c>
    </row>
    <row r="836" spans="1:5" ht="15.75" customHeight="1">
      <c r="A836" s="6">
        <v>2084047784</v>
      </c>
      <c r="B836" s="7" t="s">
        <v>105</v>
      </c>
      <c r="C836" s="7" t="s">
        <v>141</v>
      </c>
      <c r="D836" s="3" t="str">
        <f ca="1">IFERROR(__xludf.DUMMYFUNCTION("GOOGLETRANSLATE(B836,""ja"",""vi"")"),"nếu không thì")</f>
        <v>nếu không thì</v>
      </c>
      <c r="E836" t="str">
        <f t="shared" ca="1" si="13"/>
        <v>"2084047784" : "nếu không thì",</v>
      </c>
    </row>
    <row r="837" spans="1:5" ht="15.75" customHeight="1">
      <c r="A837" s="6">
        <v>2084310653</v>
      </c>
      <c r="B837" s="7" t="s">
        <v>1321</v>
      </c>
      <c r="C837" s="7" t="s">
        <v>1322</v>
      </c>
      <c r="D837" s="3" t="str">
        <f ca="1">IFERROR(__xludf.DUMMYFUNCTION("GOOGLETRANSLATE(B837,""ja"",""vi"")"),"Aikatsu")</f>
        <v>Aikatsu</v>
      </c>
      <c r="E837" t="str">
        <f t="shared" ca="1" si="13"/>
        <v>"2084310653" : "Aikatsu",</v>
      </c>
    </row>
    <row r="838" spans="1:5" ht="15.75" customHeight="1">
      <c r="A838" s="6">
        <v>2084309046</v>
      </c>
      <c r="B838" s="7" t="s">
        <v>1323</v>
      </c>
      <c r="C838" s="7" t="s">
        <v>1324</v>
      </c>
      <c r="D838" s="3" t="str">
        <f ca="1">IFERROR(__xludf.DUMMYFUNCTION("GOOGLETRANSLATE(B838,""ja"",""vi"")"),"ống của chủ sở hữu")</f>
        <v>ống của chủ sở hữu</v>
      </c>
      <c r="E838" t="str">
        <f t="shared" ca="1" si="13"/>
        <v>"2084309046" : "ống của chủ sở hữu",</v>
      </c>
    </row>
    <row r="839" spans="1:5" ht="15.75" customHeight="1">
      <c r="A839" s="6">
        <v>2084226772</v>
      </c>
      <c r="B839" s="7" t="s">
        <v>1325</v>
      </c>
      <c r="C839" s="7" t="s">
        <v>1326</v>
      </c>
      <c r="D839" s="3" t="str">
        <f ca="1">IFERROR(__xludf.DUMMYFUNCTION("GOOGLETRANSLATE(B839,""ja"",""vi"")"),"Kirarin Revolution")</f>
        <v>Kirarin Revolution</v>
      </c>
      <c r="E839" t="str">
        <f t="shared" ca="1" si="13"/>
        <v>"2084226772" : "Kirarin Revolution",</v>
      </c>
    </row>
    <row r="840" spans="1:5" ht="15.75" customHeight="1">
      <c r="A840" s="6">
        <v>2084301203</v>
      </c>
      <c r="B840" s="7" t="s">
        <v>1327</v>
      </c>
      <c r="C840" s="7" t="s">
        <v>1328</v>
      </c>
      <c r="D840" s="3" t="str">
        <f ca="1">IFERROR(__xludf.DUMMYFUNCTION("GOOGLETRANSLATE(B840,""ja"",""vi"")"),"Thẻ Fight !! Vanguard")</f>
        <v>Thẻ Fight !! Vanguard</v>
      </c>
      <c r="E840" t="str">
        <f t="shared" ca="1" si="13"/>
        <v>"2084301203" : "Thẻ Fight !! Vanguard",</v>
      </c>
    </row>
    <row r="841" spans="1:5" ht="15.75" customHeight="1">
      <c r="A841" s="6">
        <v>2084006019</v>
      </c>
      <c r="B841" s="7" t="s">
        <v>1329</v>
      </c>
      <c r="C841" s="7" t="s">
        <v>1330</v>
      </c>
      <c r="D841" s="3" t="str">
        <f ca="1">IFERROR(__xludf.DUMMYFUNCTION("GOOGLETRANSLATE(B841,""ja"",""vi"")"),"Gundam War")</f>
        <v>Gundam War</v>
      </c>
      <c r="E841" t="str">
        <f t="shared" ca="1" si="13"/>
        <v>"2084006019" : "Gundam War",</v>
      </c>
    </row>
    <row r="842" spans="1:5" ht="15.75" customHeight="1">
      <c r="A842" s="6">
        <v>2084305402</v>
      </c>
      <c r="B842" s="7" t="s">
        <v>1331</v>
      </c>
      <c r="C842" s="7" t="s">
        <v>1332</v>
      </c>
      <c r="D842" s="3" t="str">
        <f ca="1">IFERROR(__xludf.DUMMYFUNCTION("GOOGLETRANSLATE(B842,""ja"",""vi"")"),"Gundam Tri Tuổi")</f>
        <v>Gundam Tri Tuổi</v>
      </c>
      <c r="E842" t="str">
        <f t="shared" ca="1" si="13"/>
        <v>"2084305402" : "Gundam Tri Tuổi",</v>
      </c>
    </row>
    <row r="843" spans="1:5" ht="15.75" customHeight="1">
      <c r="A843" s="6">
        <v>2084310654</v>
      </c>
      <c r="B843" s="7" t="s">
        <v>1333</v>
      </c>
      <c r="C843" s="7" t="s">
        <v>1334</v>
      </c>
      <c r="D843" s="3" t="str">
        <f ca="1">IFERROR(__xludf.DUMMYFUNCTION("GOOGLETRANSLATE(B843,""ja"",""vi"")"),"Vua Pro Wrestling")</f>
        <v>Vua Pro Wrestling</v>
      </c>
      <c r="E843" t="str">
        <f t="shared" ca="1" si="13"/>
        <v>"2084310654" : "Vua Pro Wrestling",</v>
      </c>
    </row>
    <row r="844" spans="1:5" ht="15.75" customHeight="1">
      <c r="A844" s="6">
        <v>2084258752</v>
      </c>
      <c r="B844" s="7" t="s">
        <v>1335</v>
      </c>
      <c r="C844" s="7" t="s">
        <v>1336</v>
      </c>
      <c r="D844" s="3" t="str">
        <f ca="1">IFERROR(__xludf.DUMMYFUNCTION("GOOGLETRANSLATE(B844,""ja"",""vi"")"),"cuộc vận động")</f>
        <v>cuộc vận động</v>
      </c>
      <c r="E844" t="str">
        <f t="shared" ca="1" si="13"/>
        <v>"2084258752" : "cuộc vận động",</v>
      </c>
    </row>
    <row r="845" spans="1:5" ht="15.75" customHeight="1">
      <c r="A845" s="6">
        <v>2084239873</v>
      </c>
      <c r="B845" s="7" t="s">
        <v>1337</v>
      </c>
      <c r="C845" s="7" t="s">
        <v>1338</v>
      </c>
      <c r="D845" s="3" t="str">
        <f ca="1">IFERROR(__xludf.DUMMYFUNCTION("GOOGLETRANSLATE(B845,""ja"",""vi"")"),"Rider trận Gamba Ride")</f>
        <v>Rider trận Gamba Ride</v>
      </c>
      <c r="E845" t="str">
        <f t="shared" ca="1" si="13"/>
        <v>"2084239873" : "Rider trận Gamba Ride",</v>
      </c>
    </row>
    <row r="846" spans="1:5" ht="15.75" customHeight="1">
      <c r="A846" s="6">
        <v>2084309073</v>
      </c>
      <c r="B846" s="7" t="s">
        <v>1339</v>
      </c>
      <c r="C846" s="7" t="s">
        <v>1340</v>
      </c>
      <c r="D846" s="3" t="str">
        <f ca="1">IFERROR(__xludf.DUMMYFUNCTION("GOOGLETRANSLATE(B846,""ja"",""vi"")"),"Z / X ZX")</f>
        <v>Z / X ZX</v>
      </c>
      <c r="E846" t="str">
        <f t="shared" ca="1" si="13"/>
        <v>"2084309073" : "Z / X ZX",</v>
      </c>
    </row>
    <row r="847" spans="1:5" ht="15.75" customHeight="1">
      <c r="A847" s="6">
        <v>2084255968</v>
      </c>
      <c r="B847" s="7" t="s">
        <v>1341</v>
      </c>
      <c r="C847" s="7" t="s">
        <v>1342</v>
      </c>
      <c r="D847" s="3" t="str">
        <f ca="1">IFERROR(__xludf.DUMMYFUNCTION("GOOGLETRANSLATE(B847,""ja"",""vi"")"),"Super Sentai Trận Daisuo")</f>
        <v>Super Sentai Trận Daisuo</v>
      </c>
      <c r="E847" t="str">
        <f t="shared" ca="1" si="13"/>
        <v>"2084255968" : "Super Sentai Trận Daisuo",</v>
      </c>
    </row>
    <row r="848" spans="1:5" ht="15.75" customHeight="1">
      <c r="A848" s="6">
        <v>2084060487</v>
      </c>
      <c r="B848" s="7" t="s">
        <v>1343</v>
      </c>
      <c r="C848" s="7" t="s">
        <v>1344</v>
      </c>
      <c r="D848" s="3" t="str">
        <f ca="1">IFERROR(__xludf.DUMMYFUNCTION("GOOGLETRANSLATE(B848,""ja"",""vi"")"),"Chiến tranh Tam Quốc")</f>
        <v>Chiến tranh Tam Quốc</v>
      </c>
      <c r="E848" t="str">
        <f t="shared" ca="1" si="13"/>
        <v>"2084060487" : "Chiến tranh Tam Quốc",</v>
      </c>
    </row>
    <row r="849" spans="1:5" ht="15.75" customHeight="1">
      <c r="A849" s="6">
        <v>2084309075</v>
      </c>
      <c r="B849" s="7" t="s">
        <v>1345</v>
      </c>
      <c r="C849" s="7" t="s">
        <v>1346</v>
      </c>
      <c r="D849" s="3" t="str">
        <f ca="1">IFERROR(__xludf.DUMMYFUNCTION("GOOGLETRANSLATE(B849,""ja"",""vi"")"),"Shinra tất cả các host đầy sao")</f>
        <v>Shinra tất cả các host đầy sao</v>
      </c>
      <c r="E849" t="str">
        <f t="shared" ca="1" si="13"/>
        <v>"2084309075" : "Shinra tất cả các host đầy sao",</v>
      </c>
    </row>
    <row r="850" spans="1:5" ht="15.75" customHeight="1">
      <c r="A850" s="6">
        <v>2084305403</v>
      </c>
      <c r="B850" s="7" t="s">
        <v>1347</v>
      </c>
      <c r="C850" s="7" t="s">
        <v>1348</v>
      </c>
      <c r="D850" s="3" t="str">
        <f ca="1">IFERROR(__xludf.DUMMYFUNCTION("GOOGLETRANSLATE(B850,""ja"",""vi"")"),"Sengoku chiến")</f>
        <v>Sengoku chiến</v>
      </c>
      <c r="E850" t="str">
        <f t="shared" ca="1" si="13"/>
        <v>"2084305403" : "Sengoku chiến",</v>
      </c>
    </row>
    <row r="851" spans="1:5" ht="15.75" customHeight="1">
      <c r="A851" s="6">
        <v>2084050457</v>
      </c>
      <c r="B851" s="7" t="s">
        <v>139</v>
      </c>
      <c r="C851" s="7" t="s">
        <v>1349</v>
      </c>
      <c r="D851" s="3" t="str">
        <f ca="1">IFERROR(__xludf.DUMMYFUNCTION("GOOGLETRANSLATE(B851,""ja"",""vi"")"),"WCCF")</f>
        <v>WCCF</v>
      </c>
      <c r="E851" t="str">
        <f t="shared" ca="1" si="13"/>
        <v>"2084050457" : "WCCF",</v>
      </c>
    </row>
    <row r="852" spans="1:5" ht="15.75" customHeight="1">
      <c r="A852" s="6">
        <v>2084033665</v>
      </c>
      <c r="B852" s="7" t="s">
        <v>523</v>
      </c>
      <c r="C852" s="7" t="s">
        <v>1350</v>
      </c>
      <c r="D852" s="3" t="str">
        <f ca="1">IFERROR(__xludf.DUMMYFUNCTION("GOOGLETRANSLATE(B852,""ja"",""vi"")"),"quái vật kỹ thuật số")</f>
        <v>quái vật kỹ thuật số</v>
      </c>
      <c r="E852" t="str">
        <f t="shared" ca="1" si="13"/>
        <v>"2084033665" : "quái vật kỹ thuật số",</v>
      </c>
    </row>
    <row r="853" spans="1:5" ht="15.75" customHeight="1">
      <c r="A853" s="6">
        <v>2084049869</v>
      </c>
      <c r="B853" s="7" t="s">
        <v>1351</v>
      </c>
      <c r="C853" s="7" t="s">
        <v>1352</v>
      </c>
      <c r="D853" s="3" t="str">
        <f ca="1">IFERROR(__xludf.DUMMYFUNCTION("GOOGLETRANSLATE(B853,""ja"",""vi"")"),"Duel Masters")</f>
        <v>Duel Masters</v>
      </c>
      <c r="E853" t="str">
        <f t="shared" ca="1" si="13"/>
        <v>"2084049869" : "Duel Masters",</v>
      </c>
    </row>
    <row r="854" spans="1:5" ht="15.75" customHeight="1">
      <c r="A854" s="6">
        <v>2084305406</v>
      </c>
      <c r="B854" s="7" t="s">
        <v>1353</v>
      </c>
      <c r="C854" s="7" t="s">
        <v>1354</v>
      </c>
      <c r="D854" s="3" t="str">
        <f ca="1">IFERROR(__xludf.DUMMYFUNCTION("GOOGLETRANSLATE(B854,""ja"",""vi"")"),"Trico")</f>
        <v>Trico</v>
      </c>
      <c r="E854" t="str">
        <f t="shared" ca="1" si="13"/>
        <v>"2084305406" : "Trico",</v>
      </c>
    </row>
    <row r="855" spans="1:5" ht="15.75" customHeight="1">
      <c r="A855" s="6">
        <v>2084019347</v>
      </c>
      <c r="B855" s="7" t="s">
        <v>150</v>
      </c>
      <c r="C855" s="7" t="s">
        <v>1355</v>
      </c>
      <c r="D855" s="3" t="str">
        <f ca="1">IFERROR(__xludf.DUMMYFUNCTION("GOOGLETRANSLATE(B855,""ja"",""vi"")"),"dragon Quest")</f>
        <v>dragon Quest</v>
      </c>
      <c r="E855" t="str">
        <f t="shared" ca="1" si="13"/>
        <v>"2084019347" : "dragon Quest",</v>
      </c>
    </row>
    <row r="856" spans="1:5" ht="15.75" customHeight="1">
      <c r="A856" s="6">
        <v>2084064426</v>
      </c>
      <c r="B856" s="7" t="s">
        <v>433</v>
      </c>
      <c r="C856" s="7" t="s">
        <v>1356</v>
      </c>
      <c r="D856" s="3" t="str">
        <f ca="1">IFERROR(__xludf.DUMMYFUNCTION("GOOGLETRANSLATE(B856,""ja"",""vi"")"),"dragon ball")</f>
        <v>dragon ball</v>
      </c>
      <c r="E856" t="str">
        <f t="shared" ca="1" si="13"/>
        <v>"2084064426" : "dragon ball",</v>
      </c>
    </row>
    <row r="857" spans="1:5" ht="15.75" customHeight="1">
      <c r="A857" s="6">
        <v>2084310652</v>
      </c>
      <c r="B857" s="7" t="s">
        <v>1357</v>
      </c>
      <c r="C857" s="7" t="s">
        <v>1358</v>
      </c>
      <c r="D857" s="3" t="str">
        <f ca="1">IFERROR(__xludf.DUMMYFUNCTION("GOOGLETRANSLATE(B857,""ja"",""vi"")"),"Chōsoku Henkei Gyrozetter")</f>
        <v>Chōsoku Henkei Gyrozetter</v>
      </c>
      <c r="E857" t="str">
        <f t="shared" ca="1" si="13"/>
        <v>"2084310652" : "Chōsoku Henkei Gyrozetter",</v>
      </c>
    </row>
    <row r="858" spans="1:5" ht="15.75" customHeight="1">
      <c r="A858" s="6">
        <v>2084064427</v>
      </c>
      <c r="B858" s="7" t="s">
        <v>443</v>
      </c>
      <c r="C858" s="7" t="s">
        <v>1359</v>
      </c>
      <c r="D858" s="3" t="str">
        <f ca="1">IFERROR(__xludf.DUMMYFUNCTION("GOOGLETRANSLATE(B858,""ja"",""vi"")"),"NARUTO")</f>
        <v>NARUTO</v>
      </c>
      <c r="E858" t="str">
        <f t="shared" ca="1" si="13"/>
        <v>"2084064427" : "NARUTO",</v>
      </c>
    </row>
    <row r="859" spans="1:5" ht="15.75" customHeight="1">
      <c r="A859" s="6">
        <v>2084239872</v>
      </c>
      <c r="B859" s="7" t="s">
        <v>1360</v>
      </c>
      <c r="C859" s="7" t="s">
        <v>1361</v>
      </c>
      <c r="D859" s="3" t="str">
        <f ca="1">IFERROR(__xludf.DUMMYFUNCTION("GOOGLETRANSLATE(B859,""ja"",""vi"")"),"Trận Spirits")</f>
        <v>Trận Spirits</v>
      </c>
      <c r="E859" t="str">
        <f t="shared" ca="1" si="13"/>
        <v>"2084239872" : "Trận Spirits",</v>
      </c>
    </row>
    <row r="860" spans="1:5" ht="15.75" customHeight="1">
      <c r="A860" s="6">
        <v>2084314542</v>
      </c>
      <c r="B860" s="7" t="s">
        <v>1362</v>
      </c>
      <c r="C860" s="7" t="s">
        <v>1363</v>
      </c>
      <c r="D860" s="3" t="str">
        <f ca="1">IFERROR(__xludf.DUMMYFUNCTION("GOOGLETRANSLATE(B860,""ja"",""vi"")"),"Panini Football League")</f>
        <v>Panini Football League</v>
      </c>
      <c r="E860" t="str">
        <f t="shared" ca="1" si="13"/>
        <v>"2084314542" : "Panini Football League",</v>
      </c>
    </row>
    <row r="861" spans="1:5" ht="15.75" customHeight="1">
      <c r="A861" s="6">
        <v>2084309076</v>
      </c>
      <c r="B861" s="7" t="s">
        <v>1364</v>
      </c>
      <c r="C861" s="7" t="s">
        <v>1365</v>
      </c>
      <c r="D861" s="3" t="str">
        <f ca="1">IFERROR(__xludf.DUMMYFUNCTION("GOOGLETRANSLATE(B861,""ja"",""vi"")"),"Final Fantasy TCG")</f>
        <v>Final Fantasy TCG</v>
      </c>
      <c r="E861" t="str">
        <f t="shared" ca="1" si="13"/>
        <v>"2084309076" : "Final Fantasy TCG",</v>
      </c>
    </row>
    <row r="862" spans="1:5" ht="15.75" customHeight="1">
      <c r="A862" s="6">
        <v>2084305401</v>
      </c>
      <c r="B862" s="7" t="s">
        <v>1366</v>
      </c>
      <c r="C862" s="7" t="s">
        <v>1367</v>
      </c>
      <c r="D862" s="3" t="str">
        <f ca="1">IFERROR(__xludf.DUMMYFUNCTION("GOOGLETRANSLATE(B862,""ja"",""vi"")"),"Bóng đá All Stars")</f>
        <v>Bóng đá All Stars</v>
      </c>
      <c r="E862" t="str">
        <f t="shared" ca="1" si="13"/>
        <v>"2084305401" : "Bóng đá All Stars",</v>
      </c>
    </row>
    <row r="863" spans="1:5" ht="15.75" customHeight="1">
      <c r="A863" s="6">
        <v>2084259102</v>
      </c>
      <c r="B863" s="7" t="s">
        <v>1368</v>
      </c>
      <c r="C863" s="7" t="s">
        <v>1369</v>
      </c>
      <c r="D863" s="3" t="str">
        <f ca="1">IFERROR(__xludf.DUMMYFUNCTION("GOOGLETRANSLATE(B863,""ja"",""vi"")"),"Pretty Cure")</f>
        <v>Pretty Cure</v>
      </c>
      <c r="E863" t="str">
        <f t="shared" ca="1" si="13"/>
        <v>"2084259102" : "Pretty Cure",</v>
      </c>
    </row>
    <row r="864" spans="1:5" ht="15.75" customHeight="1">
      <c r="A864" s="6">
        <v>2084305404</v>
      </c>
      <c r="B864" s="7" t="s">
        <v>1370</v>
      </c>
      <c r="C864" s="7" t="s">
        <v>1371</v>
      </c>
      <c r="D864" s="3" t="str">
        <f ca="1">IFERROR(__xludf.DUMMYFUNCTION("GOOGLETRANSLATE(B864,""ja"",""vi"")"),"Prism đá")</f>
        <v>Prism đá</v>
      </c>
      <c r="E864" t="str">
        <f t="shared" ca="1" si="13"/>
        <v>"2084305404" : "Prism đá",</v>
      </c>
    </row>
    <row r="865" spans="1:5" ht="15.75" customHeight="1">
      <c r="A865" s="6">
        <v>2084305400</v>
      </c>
      <c r="B865" s="7" t="s">
        <v>1372</v>
      </c>
      <c r="C865" s="7" t="s">
        <v>1373</v>
      </c>
      <c r="D865" s="3" t="str">
        <f ca="1">IFERROR(__xludf.DUMMYFUNCTION("GOOGLETRANSLATE(B865,""ja"",""vi"")"),"Precious Memories")</f>
        <v>Precious Memories</v>
      </c>
      <c r="E865" t="str">
        <f t="shared" ca="1" si="13"/>
        <v>"2084305400" : "Precious Memories",</v>
      </c>
    </row>
    <row r="866" spans="1:5" ht="15.75" customHeight="1">
      <c r="A866" s="6">
        <v>2084258749</v>
      </c>
      <c r="B866" s="7" t="s">
        <v>1374</v>
      </c>
      <c r="C866" s="7" t="s">
        <v>1375</v>
      </c>
      <c r="D866" s="3" t="str">
        <f ca="1">IFERROR(__xludf.DUMMYFUNCTION("GOOGLETRANSLATE(B866,""ja"",""vi"")"),"Professional Baseball Chủ sở hữu giải")</f>
        <v>Professional Baseball Chủ sở hữu giải</v>
      </c>
      <c r="E866" t="str">
        <f t="shared" ca="1" si="13"/>
        <v>"2084258749" : "Professional Baseball Chủ sở hữu giải",</v>
      </c>
    </row>
    <row r="867" spans="1:5" ht="15.75" customHeight="1">
      <c r="A867" s="6">
        <v>2084199078</v>
      </c>
      <c r="B867" s="7" t="s">
        <v>1376</v>
      </c>
      <c r="C867" s="7" t="s">
        <v>1377</v>
      </c>
      <c r="D867" s="3" t="str">
        <f ca="1">IFERROR(__xludf.DUMMYFUNCTION("GOOGLETRANSLATE(B867,""ja"",""vi"")"),"Baseball Heroes")</f>
        <v>Baseball Heroes</v>
      </c>
      <c r="E867" t="str">
        <f t="shared" ca="1" si="13"/>
        <v>"2084199078" : "Baseball Heroes",</v>
      </c>
    </row>
    <row r="868" spans="1:5" ht="15.75" customHeight="1">
      <c r="A868" s="6">
        <v>2084241343</v>
      </c>
      <c r="B868" s="7" t="s">
        <v>1378</v>
      </c>
      <c r="C868" s="7" t="s">
        <v>1379</v>
      </c>
      <c r="D868" s="3" t="str">
        <f ca="1">IFERROR(__xludf.DUMMYFUNCTION("GOOGLETRANSLATE(B868,""ja"",""vi"")"),"trò chơi thẻ Pokemon")</f>
        <v>trò chơi thẻ Pokemon</v>
      </c>
      <c r="E868" t="str">
        <f t="shared" ca="1" si="13"/>
        <v>"2084241343" : "trò chơi thẻ Pokemon",</v>
      </c>
    </row>
    <row r="869" spans="1:5" ht="15.75" customHeight="1">
      <c r="A869" s="6">
        <v>2084309055</v>
      </c>
      <c r="B869" s="7" t="s">
        <v>1380</v>
      </c>
      <c r="C869" s="7" t="s">
        <v>1381</v>
      </c>
      <c r="D869" s="3" t="str">
        <f ca="1">IFERROR(__xludf.DUMMYFUNCTION("GOOGLETRANSLATE(B869,""ja"",""vi"")"),"Pokemon Torretta")</f>
        <v>Pokemon Torretta</v>
      </c>
      <c r="E869" t="str">
        <f t="shared" ca="1" si="13"/>
        <v>"2084309055" : "Pokemon Torretta",</v>
      </c>
    </row>
    <row r="870" spans="1:5" ht="15.75" customHeight="1">
      <c r="A870" s="6">
        <v>2084241344</v>
      </c>
      <c r="B870" s="7" t="s">
        <v>1382</v>
      </c>
      <c r="C870" s="7" t="s">
        <v>1383</v>
      </c>
      <c r="D870" s="3" t="str">
        <f ca="1">IFERROR(__xludf.DUMMYFUNCTION("GOOGLETRANSLATE(B870,""ja"",""vi"")"),"Pokémon Battrio")</f>
        <v>Pokémon Battrio</v>
      </c>
      <c r="E870" t="str">
        <f t="shared" ca="1" si="13"/>
        <v>"2084241344" : "Pokémon Battrio",</v>
      </c>
    </row>
    <row r="871" spans="1:5" ht="15.75" customHeight="1">
      <c r="A871" s="6">
        <v>2084239871</v>
      </c>
      <c r="B871" s="7" t="s">
        <v>1384</v>
      </c>
      <c r="C871" s="7" t="s">
        <v>1385</v>
      </c>
      <c r="D871" s="3" t="str">
        <f ca="1">IFERROR(__xludf.DUMMYFUNCTION("GOOGLETRANSLATE(B871,""ja"",""vi"")"),"Weiss Schwarz")</f>
        <v>Weiss Schwarz</v>
      </c>
      <c r="E871" t="str">
        <f t="shared" ca="1" si="13"/>
        <v>"2084239871" : "Weiss Schwarz",</v>
      </c>
    </row>
    <row r="872" spans="1:5" ht="15.75" customHeight="1">
      <c r="A872" s="6">
        <v>2084236675</v>
      </c>
      <c r="B872" s="7" t="s">
        <v>1386</v>
      </c>
      <c r="C872" s="7" t="s">
        <v>1387</v>
      </c>
      <c r="D872" s="3" t="str">
        <f ca="1">IFERROR(__xludf.DUMMYFUNCTION("GOOGLETRANSLATE(B872,""ja"",""vi"")"),"Beasts chiến Animal Kaiser")</f>
        <v>Beasts chiến Animal Kaiser</v>
      </c>
      <c r="E872" t="str">
        <f t="shared" ca="1" si="13"/>
        <v>"2084236675" : "Beasts chiến Animal Kaiser",</v>
      </c>
    </row>
    <row r="873" spans="1:5" ht="15.75" customHeight="1">
      <c r="A873" s="6">
        <v>25828</v>
      </c>
      <c r="B873" s="7" t="s">
        <v>1388</v>
      </c>
      <c r="C873" s="7" t="s">
        <v>1389</v>
      </c>
      <c r="D873" s="3" t="str">
        <f ca="1">IFERROR(__xludf.DUMMYFUNCTION("GOOGLETRANSLATE(B873,""ja"",""vi"")"),"Magic: The Gathering")</f>
        <v>Magic: The Gathering</v>
      </c>
      <c r="E873" t="str">
        <f t="shared" ca="1" si="13"/>
        <v>"25828" : "Magic: The Gathering",</v>
      </c>
    </row>
    <row r="874" spans="1:5" ht="15.75" customHeight="1">
      <c r="A874" s="6">
        <v>2084005059</v>
      </c>
      <c r="B874" s="7" t="s">
        <v>1390</v>
      </c>
      <c r="C874" s="7" t="s">
        <v>1391</v>
      </c>
      <c r="D874" s="3" t="str">
        <f ca="1">IFERROR(__xludf.DUMMYFUNCTION("GOOGLETRANSLATE(B874,""ja"",""vi"")"),"Yu-Gi-Oh (Konami)")</f>
        <v>Yu-Gi-Oh (Konami)</v>
      </c>
      <c r="E874" t="str">
        <f t="shared" ca="1" si="13"/>
        <v>"2084005059" : "Yu-Gi-Oh (Konami)",</v>
      </c>
    </row>
    <row r="875" spans="1:5" ht="15.75" customHeight="1">
      <c r="A875" s="6">
        <v>2084019440</v>
      </c>
      <c r="B875" s="7" t="s">
        <v>1392</v>
      </c>
      <c r="C875" s="7" t="s">
        <v>1393</v>
      </c>
      <c r="D875" s="3" t="str">
        <f ca="1">IFERROR(__xludf.DUMMYFUNCTION("GOOGLETRANSLATE(B875,""ja"",""vi"")"),"Yu-Gi-Oh (Bandai)")</f>
        <v>Yu-Gi-Oh (Bandai)</v>
      </c>
      <c r="E875" t="str">
        <f t="shared" ca="1" si="13"/>
        <v>"2084019440" : "Yu-Gi-Oh (Bandai)",</v>
      </c>
    </row>
    <row r="876" spans="1:5" ht="15.75" customHeight="1">
      <c r="A876" s="6">
        <v>2084314558</v>
      </c>
      <c r="B876" s="7" t="s">
        <v>1394</v>
      </c>
      <c r="C876" s="7" t="s">
        <v>1395</v>
      </c>
      <c r="D876" s="3" t="str">
        <f ca="1">IFERROR(__xludf.DUMMYFUNCTION("GOOGLETRANSLATE(B876,""ja"",""vi"")"),"Spectre Xem")</f>
        <v>Spectre Xem</v>
      </c>
      <c r="E876" t="str">
        <f t="shared" ca="1" si="13"/>
        <v>"2084314558" : "Spectre Xem",</v>
      </c>
    </row>
    <row r="877" spans="1:5" ht="15.75" customHeight="1">
      <c r="A877" s="6">
        <v>20992</v>
      </c>
      <c r="B877" s="7" t="s">
        <v>1159</v>
      </c>
      <c r="C877" s="7" t="s">
        <v>1396</v>
      </c>
      <c r="D877" s="3" t="str">
        <f ca="1">IFERROR(__xludf.DUMMYFUNCTION("GOOGLETRANSLATE(B877,""ja"",""vi"")"),"thẻ giao dịch")</f>
        <v>thẻ giao dịch</v>
      </c>
      <c r="E877" t="str">
        <f t="shared" ca="1" si="13"/>
        <v>"20992" : "thẻ giao dịch",</v>
      </c>
    </row>
    <row r="878" spans="1:5" ht="15.75" customHeight="1">
      <c r="A878" s="6">
        <v>2084215569</v>
      </c>
      <c r="B878" s="7" t="s">
        <v>1397</v>
      </c>
      <c r="C878" s="7" t="s">
        <v>1398</v>
      </c>
      <c r="D878" s="3" t="str">
        <f ca="1">IFERROR(__xludf.DUMMYFUNCTION("GOOGLETRANSLATE(B878,""ja"",""vi"")"),"Lycée")</f>
        <v>Lycée</v>
      </c>
      <c r="E878" t="str">
        <f t="shared" ca="1" si="13"/>
        <v>"2084215569" : "Lycée",</v>
      </c>
    </row>
    <row r="879" spans="1:5" ht="15.75" customHeight="1">
      <c r="A879" s="6">
        <v>2084236678</v>
      </c>
      <c r="B879" s="7" t="s">
        <v>1399</v>
      </c>
      <c r="C879" s="7" t="s">
        <v>1400</v>
      </c>
      <c r="D879" s="3" t="str">
        <f ca="1">IFERROR(__xludf.DUMMYFUNCTION("GOOGLETRANSLATE(B879,""ja"",""vi"")"),"Rangers Strike")</f>
        <v>Rangers Strike</v>
      </c>
      <c r="E879" t="str">
        <f t="shared" ca="1" si="13"/>
        <v>"2084236678" : "Rangers Strike",</v>
      </c>
    </row>
    <row r="880" spans="1:5" ht="15.75" customHeight="1">
      <c r="A880" s="6">
        <v>2084236676</v>
      </c>
      <c r="B880" s="7" t="s">
        <v>1401</v>
      </c>
      <c r="C880" s="7" t="s">
        <v>1402</v>
      </c>
      <c r="D880" s="3" t="str">
        <f ca="1">IFERROR(__xludf.DUMMYFUNCTION("GOOGLETRANSLATE(B880,""ja"",""vi"")"),"Lord of Vermilion")</f>
        <v>Lord of Vermilion</v>
      </c>
      <c r="E880" t="str">
        <f t="shared" ca="1" si="13"/>
        <v>"2084236676" : "Lord of Vermilion",</v>
      </c>
    </row>
    <row r="881" spans="1:5" ht="15.75" customHeight="1">
      <c r="A881" s="6">
        <v>2084236680</v>
      </c>
      <c r="B881" s="7" t="s">
        <v>1403</v>
      </c>
      <c r="C881" s="7" t="s">
        <v>1404</v>
      </c>
      <c r="D881" s="3" t="str">
        <f ca="1">IFERROR(__xludf.DUMMYFUNCTION("GOOGLETRANSLATE(B881,""ja"",""vi"")"),"One piece")</f>
        <v>One piece</v>
      </c>
      <c r="E881" t="str">
        <f t="shared" ca="1" si="13"/>
        <v>"2084236680" : "One piece",</v>
      </c>
    </row>
    <row r="882" spans="1:5" ht="15.75" customHeight="1">
      <c r="A882" s="6">
        <v>25832</v>
      </c>
      <c r="B882" s="7" t="s">
        <v>105</v>
      </c>
      <c r="C882" s="7" t="s">
        <v>1405</v>
      </c>
      <c r="D882" s="3" t="str">
        <f ca="1">IFERROR(__xludf.DUMMYFUNCTION("GOOGLETRANSLATE(B882,""ja"",""vi"")"),"nếu không thì")</f>
        <v>nếu không thì</v>
      </c>
      <c r="E882" t="str">
        <f t="shared" ca="1" si="13"/>
        <v>"25832" : "nếu không thì",</v>
      </c>
    </row>
    <row r="883" spans="1:5" ht="15.75" customHeight="1">
      <c r="A883" s="6">
        <v>2084041923</v>
      </c>
      <c r="B883" s="7" t="s">
        <v>1406</v>
      </c>
      <c r="C883" s="7" t="s">
        <v>1407</v>
      </c>
      <c r="D883" s="3" t="str">
        <f ca="1">IFERROR(__xludf.DUMMYFUNCTION("GOOGLETRANSLATE(B883,""ja"",""vi"")"),"UNO")</f>
        <v>UNO</v>
      </c>
      <c r="E883" t="str">
        <f t="shared" ca="1" si="13"/>
        <v>"2084041923" : "UNO",</v>
      </c>
    </row>
    <row r="884" spans="1:5" ht="15.75" customHeight="1">
      <c r="A884" s="6">
        <v>2084044884</v>
      </c>
      <c r="B884" s="7" t="s">
        <v>1408</v>
      </c>
      <c r="C884" s="7" t="s">
        <v>1409</v>
      </c>
      <c r="D884" s="3" t="str">
        <f ca="1">IFERROR(__xludf.DUMMYFUNCTION("GOOGLETRANSLATE(B884,""ja"",""vi"")"),"Carta")</f>
        <v>Carta</v>
      </c>
      <c r="E884" t="str">
        <f t="shared" ca="1" si="13"/>
        <v>"2084044884" : "Carta",</v>
      </c>
    </row>
    <row r="885" spans="1:5" ht="15.75" customHeight="1">
      <c r="A885" s="6">
        <v>2084044883</v>
      </c>
      <c r="B885" s="7" t="s">
        <v>1410</v>
      </c>
      <c r="C885" s="7" t="s">
        <v>1411</v>
      </c>
      <c r="D885" s="3" t="str">
        <f ca="1">IFERROR(__xludf.DUMMYFUNCTION("GOOGLETRANSLATE(B885,""ja"",""vi"")"),"thẻ Tarot")</f>
        <v>thẻ Tarot</v>
      </c>
      <c r="E885" t="str">
        <f t="shared" ca="1" si="13"/>
        <v>"2084044883" : "thẻ Tarot",</v>
      </c>
    </row>
    <row r="886" spans="1:5" ht="15.75" customHeight="1">
      <c r="A886" s="6">
        <v>40534</v>
      </c>
      <c r="B886" s="7" t="s">
        <v>1412</v>
      </c>
      <c r="C886" s="7" t="s">
        <v>1413</v>
      </c>
      <c r="D886" s="3" t="str">
        <f ca="1">IFERROR(__xludf.DUMMYFUNCTION("GOOGLETRANSLATE(B886,""ja"",""vi"")"),"Bài lá")</f>
        <v>Bài lá</v>
      </c>
      <c r="E886" t="str">
        <f t="shared" ca="1" si="13"/>
        <v>"40534" : "Bài lá",</v>
      </c>
    </row>
    <row r="887" spans="1:5" ht="15.75" customHeight="1">
      <c r="A887" s="6">
        <v>2084041924</v>
      </c>
      <c r="B887" s="7" t="s">
        <v>1414</v>
      </c>
      <c r="C887" s="7" t="s">
        <v>1415</v>
      </c>
      <c r="D887" s="3" t="str">
        <f ca="1">IFERROR(__xludf.DUMMYFUNCTION("GOOGLETRANSLATE(B887,""ja"",""vi"")"),"thẻ chơi hoa")</f>
        <v>thẻ chơi hoa</v>
      </c>
      <c r="E887" t="str">
        <f t="shared" ca="1" si="13"/>
        <v>"2084041924" : "thẻ chơi hoa",</v>
      </c>
    </row>
    <row r="888" spans="1:5" ht="15.75" customHeight="1">
      <c r="A888" s="6">
        <v>2084041925</v>
      </c>
      <c r="B888" s="7" t="s">
        <v>1416</v>
      </c>
      <c r="C888" s="7" t="s">
        <v>1417</v>
      </c>
      <c r="D888" s="3" t="str">
        <f ca="1">IFERROR(__xludf.DUMMYFUNCTION("GOOGLETRANSLATE(B888,""ja"",""vi"")"),"Bài thơ trò chơi thẻ")</f>
        <v>Bài thơ trò chơi thẻ</v>
      </c>
      <c r="E888" t="str">
        <f t="shared" ca="1" si="13"/>
        <v>"2084041925" : "Bài thơ trò chơi thẻ",</v>
      </c>
    </row>
    <row r="889" spans="1:5" ht="15.75" customHeight="1">
      <c r="A889" s="6">
        <v>2084041926</v>
      </c>
      <c r="B889" s="7" t="s">
        <v>105</v>
      </c>
      <c r="C889" s="7" t="s">
        <v>1418</v>
      </c>
      <c r="D889" s="3" t="str">
        <f ca="1">IFERROR(__xludf.DUMMYFUNCTION("GOOGLETRANSLATE(B889,""ja"",""vi"")"),"nếu không thì")</f>
        <v>nếu không thì</v>
      </c>
      <c r="E889" t="str">
        <f t="shared" ca="1" si="13"/>
        <v>"2084041926" : "nếu không thì",</v>
      </c>
    </row>
    <row r="890" spans="1:5" ht="15.75" customHeight="1">
      <c r="A890" s="6">
        <v>2084036418</v>
      </c>
      <c r="B890" s="7" t="s">
        <v>1419</v>
      </c>
      <c r="C890" s="7" t="s">
        <v>1420</v>
      </c>
      <c r="D890" s="3" t="str">
        <f ca="1">IFERROR(__xludf.DUMMYFUNCTION("GOOGLETRANSLATE(B890,""ja"",""vi"")"),"Sugoroku")</f>
        <v>Sugoroku</v>
      </c>
      <c r="E890" t="str">
        <f t="shared" ca="1" si="13"/>
        <v>"2084036418" : "Sugoroku",</v>
      </c>
    </row>
    <row r="891" spans="1:5" ht="15.75" customHeight="1">
      <c r="A891" s="6">
        <v>2084036413</v>
      </c>
      <c r="B891" s="7" t="s">
        <v>1421</v>
      </c>
      <c r="C891" s="7" t="s">
        <v>1422</v>
      </c>
      <c r="D891" s="3" t="str">
        <f ca="1">IFERROR(__xludf.DUMMYFUNCTION("GOOGLETRANSLATE(B891,""ja"",""vi"")"),"chiến tranh trò chơi")</f>
        <v>chiến tranh trò chơi</v>
      </c>
      <c r="E891" t="str">
        <f t="shared" ca="1" si="13"/>
        <v>"2084036413" : "chiến tranh trò chơi",</v>
      </c>
    </row>
    <row r="892" spans="1:5" ht="15.75" customHeight="1">
      <c r="A892" s="6">
        <v>2084036409</v>
      </c>
      <c r="B892" s="7" t="s">
        <v>1423</v>
      </c>
      <c r="C892" s="7" t="s">
        <v>1424</v>
      </c>
      <c r="D892" s="3" t="str">
        <f ca="1">IFERROR(__xludf.DUMMYFUNCTION("GOOGLETRANSLATE(B892,""ja"",""vi"")"),"Othello, Reversi")</f>
        <v>Othello, Reversi</v>
      </c>
      <c r="E892" t="str">
        <f t="shared" ca="1" si="13"/>
        <v>"2084036409" : "Othello, Reversi",</v>
      </c>
    </row>
    <row r="893" spans="1:5" ht="15.75" customHeight="1">
      <c r="A893" s="6">
        <v>2084036411</v>
      </c>
      <c r="B893" s="7" t="s">
        <v>1425</v>
      </c>
      <c r="C893" s="7" t="s">
        <v>1426</v>
      </c>
      <c r="D893" s="3" t="str">
        <f ca="1">IFERROR(__xludf.DUMMYFUNCTION("GOOGLETRANSLATE(B893,""ja"",""vi"")"),"trò chơi bóng đá")</f>
        <v>trò chơi bóng đá</v>
      </c>
      <c r="E893" t="str">
        <f t="shared" ca="1" si="13"/>
        <v>"2084036411" : "trò chơi bóng đá",</v>
      </c>
    </row>
    <row r="894" spans="1:5" ht="15.75" customHeight="1">
      <c r="A894" s="6">
        <v>2084036417</v>
      </c>
      <c r="B894" s="7" t="s">
        <v>1427</v>
      </c>
      <c r="C894" s="7" t="s">
        <v>1428</v>
      </c>
      <c r="D894" s="3" t="str">
        <f ca="1">IFERROR(__xludf.DUMMYFUNCTION("GOOGLETRANSLATE(B894,""ja"",""vi"")"),"cờ vua")</f>
        <v>cờ vua</v>
      </c>
      <c r="E894" t="str">
        <f t="shared" ca="1" si="13"/>
        <v>"2084036417" : "cờ vua",</v>
      </c>
    </row>
    <row r="895" spans="1:5" ht="15.75" customHeight="1">
      <c r="A895" s="6">
        <v>2084036416</v>
      </c>
      <c r="B895" s="7" t="s">
        <v>1429</v>
      </c>
      <c r="C895" s="7" t="s">
        <v>1430</v>
      </c>
      <c r="D895" s="3" t="str">
        <f ca="1">IFERROR(__xludf.DUMMYFUNCTION("GOOGLETRANSLATE(B895,""ja"",""vi"")"),"độc quyền")</f>
        <v>độc quyền</v>
      </c>
      <c r="E895" t="str">
        <f t="shared" ca="1" si="13"/>
        <v>"2084036416" : "độc quyền",</v>
      </c>
    </row>
    <row r="896" spans="1:5" ht="15.75" customHeight="1">
      <c r="A896" s="6">
        <v>2084036420</v>
      </c>
      <c r="B896" s="7" t="s">
        <v>1431</v>
      </c>
      <c r="C896" s="7" t="s">
        <v>1432</v>
      </c>
      <c r="D896" s="3" t="str">
        <f ca="1">IFERROR(__xludf.DUMMYFUNCTION("GOOGLETRANSLATE(B896,""ja"",""vi"")"),"Go")</f>
        <v>Go</v>
      </c>
      <c r="E896" t="str">
        <f t="shared" ca="1" si="13"/>
        <v>"2084036420" : "Go",</v>
      </c>
    </row>
    <row r="897" spans="1:5" ht="15.75" customHeight="1">
      <c r="A897" s="6">
        <v>2084036421</v>
      </c>
      <c r="B897" s="7" t="s">
        <v>1433</v>
      </c>
      <c r="C897" s="7" t="s">
        <v>1434</v>
      </c>
      <c r="D897" s="3" t="str">
        <f ca="1">IFERROR(__xludf.DUMMYFUNCTION("GOOGLETRANSLATE(B897,""ja"",""vi"")"),"cờ Nhật Bản")</f>
        <v>cờ Nhật Bản</v>
      </c>
      <c r="E897" t="str">
        <f t="shared" ca="1" si="13"/>
        <v>"2084036421" : "cờ Nhật Bản",</v>
      </c>
    </row>
    <row r="898" spans="1:5" ht="15.75" customHeight="1">
      <c r="A898" s="6">
        <v>2084036408</v>
      </c>
      <c r="B898" s="7" t="s">
        <v>1435</v>
      </c>
      <c r="C898" s="7" t="s">
        <v>1436</v>
      </c>
      <c r="D898" s="3" t="str">
        <f ca="1">IFERROR(__xludf.DUMMYFUNCTION("GOOGLETRANSLATE(B898,""ja"",""vi"")"),"Các Game of Life")</f>
        <v>Các Game of Life</v>
      </c>
      <c r="E898" t="str">
        <f t="shared" ref="E898:E961" ca="1" si="14">CONCATENATE(CHAR(34)&amp;"",A898,""&amp;CHAR(34)," : ", CHAR(34)&amp;"",D898,""&amp;CHAR(34),",")</f>
        <v>"2084036408" : "Các Game of Life",</v>
      </c>
    </row>
    <row r="899" spans="1:5" ht="15.75" customHeight="1">
      <c r="A899" s="6">
        <v>2084036410</v>
      </c>
      <c r="B899" s="7" t="s">
        <v>1437</v>
      </c>
      <c r="C899" s="7" t="s">
        <v>1438</v>
      </c>
      <c r="D899" s="3" t="str">
        <f ca="1">IFERROR(__xludf.DUMMYFUNCTION("GOOGLETRANSLATE(B899,""ja"",""vi"")"),"bóng chày trò chơi")</f>
        <v>bóng chày trò chơi</v>
      </c>
      <c r="E899" t="str">
        <f t="shared" ca="1" si="14"/>
        <v>"2084036410" : "bóng chày trò chơi",</v>
      </c>
    </row>
    <row r="900" spans="1:5" ht="15.75" customHeight="1">
      <c r="A900" s="6">
        <v>2084036419</v>
      </c>
      <c r="B900" s="7" t="s">
        <v>105</v>
      </c>
      <c r="C900" s="7" t="s">
        <v>1439</v>
      </c>
      <c r="D900" s="3" t="str">
        <f ca="1">IFERROR(__xludf.DUMMYFUNCTION("GOOGLETRANSLATE(B900,""ja"",""vi"")"),"nếu không thì")</f>
        <v>nếu không thì</v>
      </c>
      <c r="E900" t="str">
        <f t="shared" ca="1" si="14"/>
        <v>"2084036419" : "nếu không thì",</v>
      </c>
    </row>
    <row r="901" spans="1:5" ht="15.75" customHeight="1">
      <c r="A901" s="6">
        <v>2084239895</v>
      </c>
      <c r="B901" s="7" t="s">
        <v>1440</v>
      </c>
      <c r="C901" s="7" t="s">
        <v>1441</v>
      </c>
      <c r="D901" s="3" t="str">
        <f ca="1">IFERROR(__xludf.DUMMYFUNCTION("GOOGLETRANSLATE(B901,""ja"",""vi"")"),"Phi tiêu, mũi tên")</f>
        <v>Phi tiêu, mũi tên</v>
      </c>
      <c r="E901" t="str">
        <f t="shared" ca="1" si="14"/>
        <v>"2084239895" : "Phi tiêu, mũi tên",</v>
      </c>
    </row>
    <row r="902" spans="1:5" ht="15.75" customHeight="1">
      <c r="A902" s="6">
        <v>2084239894</v>
      </c>
      <c r="B902" s="7" t="s">
        <v>1442</v>
      </c>
      <c r="C902" s="7" t="s">
        <v>1443</v>
      </c>
      <c r="D902" s="3" t="str">
        <f ca="1">IFERROR(__xludf.DUMMYFUNCTION("GOOGLETRANSLATE(B902,""ja"",""vi"")"),"Hội đồng quản trị")</f>
        <v>Hội đồng quản trị</v>
      </c>
      <c r="E902" t="str">
        <f t="shared" ca="1" si="14"/>
        <v>"2084239894" : "Hội đồng quản trị",</v>
      </c>
    </row>
    <row r="903" spans="1:5" ht="15.75" customHeight="1">
      <c r="A903" s="6">
        <v>2084239896</v>
      </c>
      <c r="B903" s="7" t="s">
        <v>1444</v>
      </c>
      <c r="C903" s="7" t="s">
        <v>1445</v>
      </c>
      <c r="D903" s="3" t="str">
        <f ca="1">IFERROR(__xludf.DUMMYFUNCTION("GOOGLETRANSLATE(B903,""ja"",""vi"")"),"phụ kiện")</f>
        <v>phụ kiện</v>
      </c>
      <c r="E903" t="str">
        <f t="shared" ca="1" si="14"/>
        <v>"2084239896" : "phụ kiện",</v>
      </c>
    </row>
    <row r="904" spans="1:5" ht="15.75" customHeight="1">
      <c r="A904" s="6">
        <v>2084239897</v>
      </c>
      <c r="B904" s="7" t="s">
        <v>105</v>
      </c>
      <c r="C904" s="7" t="s">
        <v>1446</v>
      </c>
      <c r="D904" s="3" t="str">
        <f ca="1">IFERROR(__xludf.DUMMYFUNCTION("GOOGLETRANSLATE(B904,""ja"",""vi"")"),"nếu không thì")</f>
        <v>nếu không thì</v>
      </c>
      <c r="E904" t="str">
        <f t="shared" ca="1" si="14"/>
        <v>"2084239897" : "nếu không thì",</v>
      </c>
    </row>
    <row r="905" spans="1:5" ht="15.75" customHeight="1">
      <c r="A905" s="6">
        <v>2084059853</v>
      </c>
      <c r="B905" s="7" t="s">
        <v>1447</v>
      </c>
      <c r="C905" s="7" t="s">
        <v>1448</v>
      </c>
      <c r="D905" s="3" t="str">
        <f ca="1">IFERROR(__xludf.DUMMYFUNCTION("GOOGLETRANSLATE(B905,""ja"",""vi"")"),"thẻ")</f>
        <v>thẻ</v>
      </c>
      <c r="E905" t="str">
        <f t="shared" ca="1" si="14"/>
        <v>"2084059853" : "thẻ",</v>
      </c>
    </row>
    <row r="906" spans="1:5" ht="15.75" customHeight="1">
      <c r="A906" s="6">
        <v>2084059854</v>
      </c>
      <c r="B906" s="7" t="s">
        <v>1449</v>
      </c>
      <c r="C906" s="7" t="s">
        <v>1450</v>
      </c>
      <c r="D906" s="3" t="str">
        <f ca="1">IFERROR(__xludf.DUMMYFUNCTION("GOOGLETRANSLATE(B906,""ja"",""vi"")"),"đồng tiền")</f>
        <v>đồng tiền</v>
      </c>
      <c r="E906" t="str">
        <f t="shared" ca="1" si="14"/>
        <v>"2084059854" : "đồng tiền",</v>
      </c>
    </row>
    <row r="907" spans="1:5" ht="15.75" customHeight="1">
      <c r="A907" s="6">
        <v>2084059855</v>
      </c>
      <c r="B907" s="7" t="s">
        <v>1451</v>
      </c>
      <c r="C907" s="7" t="s">
        <v>1452</v>
      </c>
      <c r="D907" s="3" t="str">
        <f ca="1">IFERROR(__xludf.DUMMYFUNCTION("GOOGLETRANSLATE(B907,""ja"",""vi"")"),"Hướng dẫn sử dụng")</f>
        <v>Hướng dẫn sử dụng</v>
      </c>
      <c r="E907" t="str">
        <f t="shared" ca="1" si="14"/>
        <v>"2084059855" : "Hướng dẫn sử dụng",</v>
      </c>
    </row>
    <row r="908" spans="1:5" ht="15.75" customHeight="1">
      <c r="A908" s="6">
        <v>2084059856</v>
      </c>
      <c r="B908" s="7" t="s">
        <v>105</v>
      </c>
      <c r="C908" s="7" t="s">
        <v>1453</v>
      </c>
      <c r="D908" s="3" t="str">
        <f ca="1">IFERROR(__xludf.DUMMYFUNCTION("GOOGLETRANSLATE(B908,""ja"",""vi"")"),"nếu không thì")</f>
        <v>nếu không thì</v>
      </c>
      <c r="E908" t="str">
        <f t="shared" ca="1" si="14"/>
        <v>"2084059856" : "nếu không thì",</v>
      </c>
    </row>
    <row r="909" spans="1:5" ht="15.75" customHeight="1">
      <c r="A909" s="6">
        <v>2084059860</v>
      </c>
      <c r="B909" s="7" t="s">
        <v>1454</v>
      </c>
      <c r="C909" s="7" t="s">
        <v>1455</v>
      </c>
      <c r="D909" s="3" t="str">
        <f ca="1">IFERROR(__xludf.DUMMYFUNCTION("GOOGLETRANSLATE(B909,""ja"",""vi"")"),"tóc giả")</f>
        <v>tóc giả</v>
      </c>
      <c r="E909" t="str">
        <f t="shared" ca="1" si="14"/>
        <v>"2084059860" : "tóc giả",</v>
      </c>
    </row>
    <row r="910" spans="1:5" ht="15.75" customHeight="1">
      <c r="A910" s="6">
        <v>2084310506</v>
      </c>
      <c r="B910" s="7" t="s">
        <v>1456</v>
      </c>
      <c r="C910" s="7" t="s">
        <v>1457</v>
      </c>
      <c r="D910" s="3" t="str">
        <f ca="1">IFERROR(__xludf.DUMMYFUNCTION("GOOGLETRANSLATE(B910,""ja"",""vi"")"),"cracker")</f>
        <v>cracker</v>
      </c>
      <c r="E910" t="str">
        <f t="shared" ca="1" si="14"/>
        <v>"2084310506" : "cracker",</v>
      </c>
    </row>
    <row r="911" spans="1:5" ht="15.75" customHeight="1">
      <c r="A911" s="6">
        <v>2084062134</v>
      </c>
      <c r="B911" s="7" t="s">
        <v>1113</v>
      </c>
      <c r="C911" s="7" t="s">
        <v>1458</v>
      </c>
      <c r="D911" s="3" t="str">
        <f ca="1">IFERROR(__xludf.DUMMYFUNCTION("GOOGLETRANSLATE(B911,""ja"",""vi"")"),"cosplay trang phục")</f>
        <v>cosplay trang phục</v>
      </c>
      <c r="E911" t="str">
        <f t="shared" ca="1" si="14"/>
        <v>"2084062134" : "cosplay trang phục",</v>
      </c>
    </row>
    <row r="912" spans="1:5" ht="15.75" customHeight="1">
      <c r="A912" s="6">
        <v>2084059857</v>
      </c>
      <c r="B912" s="7" t="s">
        <v>1459</v>
      </c>
      <c r="C912" s="7" t="s">
        <v>1460</v>
      </c>
      <c r="D912" s="3" t="str">
        <f ca="1">IFERROR(__xludf.DUMMYFUNCTION("GOOGLETRANSLATE(B912,""ja"",""vi"")"),"mặt nạ")</f>
        <v>mặt nạ</v>
      </c>
      <c r="E912" t="str">
        <f t="shared" ca="1" si="14"/>
        <v>"2084059857" : "mặt nạ",</v>
      </c>
    </row>
    <row r="913" spans="1:5" ht="15.75" customHeight="1">
      <c r="A913" s="6">
        <v>2084059862</v>
      </c>
      <c r="B913" s="7" t="s">
        <v>1461</v>
      </c>
      <c r="C913" s="7" t="s">
        <v>1462</v>
      </c>
      <c r="D913" s="3" t="str">
        <f ca="1">IFERROR(__xludf.DUMMYFUNCTION("GOOGLETRANSLATE(B913,""ja"",""vi"")"),"trang phục")</f>
        <v>trang phục</v>
      </c>
      <c r="E913" t="str">
        <f t="shared" ca="1" si="14"/>
        <v>"2084059862" : "trang phục",</v>
      </c>
    </row>
    <row r="914" spans="1:5" ht="15.75" customHeight="1">
      <c r="A914" s="6">
        <v>2084059861</v>
      </c>
      <c r="B914" s="7" t="s">
        <v>1463</v>
      </c>
      <c r="C914" s="7" t="s">
        <v>1464</v>
      </c>
      <c r="D914" s="3" t="str">
        <f ca="1">IFERROR(__xludf.DUMMYFUNCTION("GOOGLETRANSLATE(B914,""ja"",""vi"")"),"quần áo")</f>
        <v>quần áo</v>
      </c>
      <c r="E914" t="str">
        <f t="shared" ca="1" si="14"/>
        <v>"2084059861" : "quần áo",</v>
      </c>
    </row>
    <row r="915" spans="1:5" ht="15.75" customHeight="1">
      <c r="A915" s="6">
        <v>27727</v>
      </c>
      <c r="B915" s="7" t="s">
        <v>1465</v>
      </c>
      <c r="C915" s="7" t="s">
        <v>1466</v>
      </c>
      <c r="D915" s="3" t="str">
        <f ca="1">IFERROR(__xludf.DUMMYFUNCTION("GOOGLETRANSLATE(B915,""ja"",""vi"")"),"trò chơi")</f>
        <v>trò chơi</v>
      </c>
      <c r="E915" t="str">
        <f t="shared" ca="1" si="14"/>
        <v>"27727" : "trò chơi",</v>
      </c>
    </row>
    <row r="916" spans="1:5" ht="15.75" customHeight="1">
      <c r="A916" s="6">
        <v>2084059858</v>
      </c>
      <c r="B916" s="7" t="s">
        <v>105</v>
      </c>
      <c r="C916" s="7" t="s">
        <v>1467</v>
      </c>
      <c r="D916" s="3" t="str">
        <f ca="1">IFERROR(__xludf.DUMMYFUNCTION("GOOGLETRANSLATE(B916,""ja"",""vi"")"),"nếu không thì")</f>
        <v>nếu không thì</v>
      </c>
      <c r="E916" t="str">
        <f t="shared" ca="1" si="14"/>
        <v>"2084059858" : "nếu không thì",</v>
      </c>
    </row>
    <row r="917" spans="1:5" ht="15.75" customHeight="1">
      <c r="A917" s="6">
        <v>2084019369</v>
      </c>
      <c r="B917" s="7" t="s">
        <v>1468</v>
      </c>
      <c r="C917" s="7" t="s">
        <v>1469</v>
      </c>
      <c r="D917" s="3" t="str">
        <f ca="1">IFERROR(__xludf.DUMMYFUNCTION("GOOGLETRANSLATE(B917,""ja"",""vi"")"),"Lego bé")</f>
        <v>Lego bé</v>
      </c>
      <c r="E917" t="str">
        <f t="shared" ca="1" si="14"/>
        <v>"2084019369" : "Lego bé",</v>
      </c>
    </row>
    <row r="918" spans="1:5" ht="15.75" customHeight="1">
      <c r="A918" s="6">
        <v>2084019370</v>
      </c>
      <c r="B918" s="7" t="s">
        <v>1470</v>
      </c>
      <c r="C918" s="7" t="s">
        <v>1471</v>
      </c>
      <c r="D918" s="3" t="str">
        <f ca="1">IFERROR(__xludf.DUMMYFUNCTION("GOOGLETRANSLATE(B918,""ja"",""vi"")"),"Lego Duplo")</f>
        <v>Lego Duplo</v>
      </c>
      <c r="E918" t="str">
        <f t="shared" ca="1" si="14"/>
        <v>"2084019370" : "Lego Duplo",</v>
      </c>
    </row>
    <row r="919" spans="1:5" ht="15.75" customHeight="1">
      <c r="A919" s="6">
        <v>2084019371</v>
      </c>
      <c r="B919" s="7" t="s">
        <v>1472</v>
      </c>
      <c r="C919" s="7" t="s">
        <v>1473</v>
      </c>
      <c r="D919" s="3" t="str">
        <f ca="1">IFERROR(__xludf.DUMMYFUNCTION("GOOGLETRANSLATE(B919,""ja"",""vi"")"),"Lego Disney")</f>
        <v>Lego Disney</v>
      </c>
      <c r="E919" t="str">
        <f t="shared" ca="1" si="14"/>
        <v>"2084019371" : "Lego Disney",</v>
      </c>
    </row>
    <row r="920" spans="1:5" ht="15.75" customHeight="1">
      <c r="A920" s="6">
        <v>2084019372</v>
      </c>
      <c r="B920" s="7" t="s">
        <v>1474</v>
      </c>
      <c r="C920" s="7" t="s">
        <v>1475</v>
      </c>
      <c r="D920" s="3" t="str">
        <f ca="1">IFERROR(__xludf.DUMMYFUNCTION("GOOGLETRANSLATE(B920,""ja"",""vi"")"),"thiết lập cơ bản")</f>
        <v>thiết lập cơ bản</v>
      </c>
      <c r="E920" t="str">
        <f t="shared" ca="1" si="14"/>
        <v>"2084019372" : "thiết lập cơ bản",</v>
      </c>
    </row>
    <row r="921" spans="1:5" ht="15.75" customHeight="1">
      <c r="A921" s="6">
        <v>2084019379</v>
      </c>
      <c r="B921" s="7" t="s">
        <v>1476</v>
      </c>
      <c r="C921" s="7" t="s">
        <v>1477</v>
      </c>
      <c r="D921" s="3" t="str">
        <f ca="1">IFERROR(__xludf.DUMMYFUNCTION("GOOGLETRANSLATE(B921,""ja"",""vi"")"),"Lâu đài Dòng")</f>
        <v>Lâu đài Dòng</v>
      </c>
      <c r="E921" t="str">
        <f t="shared" ca="1" si="14"/>
        <v>"2084019379" : "Lâu đài Dòng",</v>
      </c>
    </row>
    <row r="922" spans="1:5" ht="15.75" customHeight="1">
      <c r="A922" s="6">
        <v>2084019376</v>
      </c>
      <c r="B922" s="7" t="s">
        <v>1478</v>
      </c>
      <c r="C922" s="7" t="s">
        <v>1479</v>
      </c>
      <c r="D922" s="3" t="str">
        <f ca="1">IFERROR(__xludf.DUMMYFUNCTION("GOOGLETRANSLATE(B922,""ja"",""vi"")"),"trạm không gian")</f>
        <v>trạm không gian</v>
      </c>
      <c r="E922" t="str">
        <f t="shared" ca="1" si="14"/>
        <v>"2084019376" : "trạm không gian",</v>
      </c>
    </row>
    <row r="923" spans="1:5" ht="15.75" customHeight="1">
      <c r="A923" s="6">
        <v>42125</v>
      </c>
      <c r="B923" s="7" t="s">
        <v>1480</v>
      </c>
      <c r="C923" s="7" t="s">
        <v>1481</v>
      </c>
      <c r="D923" s="3" t="str">
        <f ca="1">IFERROR(__xludf.DUMMYFUNCTION("GOOGLETRANSLATE(B923,""ja"",""vi"")"),"Game Lego Star Wars")</f>
        <v>Game Lego Star Wars</v>
      </c>
      <c r="E923" t="str">
        <f t="shared" ca="1" si="14"/>
        <v>"42125" : "Game Lego Star Wars",</v>
      </c>
    </row>
    <row r="924" spans="1:5" ht="15.75" customHeight="1">
      <c r="A924" s="6">
        <v>2084019374</v>
      </c>
      <c r="B924" s="7" t="s">
        <v>1482</v>
      </c>
      <c r="C924" s="7" t="s">
        <v>1483</v>
      </c>
      <c r="D924" s="3" t="str">
        <f ca="1">IFERROR(__xludf.DUMMYFUNCTION("GOOGLETRANSLATE(B924,""ja"",""vi"")"),"Lego thể thao")</f>
        <v>Lego thể thao</v>
      </c>
      <c r="E924" t="str">
        <f t="shared" ca="1" si="14"/>
        <v>"2084019374" : "Lego thể thao",</v>
      </c>
    </row>
    <row r="925" spans="1:5" ht="15.75" customHeight="1">
      <c r="A925" s="6">
        <v>2084019373</v>
      </c>
      <c r="B925" s="7" t="s">
        <v>1484</v>
      </c>
      <c r="C925" s="7" t="s">
        <v>1485</v>
      </c>
      <c r="D925" s="3" t="str">
        <f ca="1">IFERROR(__xludf.DUMMYFUNCTION("GOOGLETRANSLATE(B925,""ja"",""vi"")"),"Lego Racing")</f>
        <v>Lego Racing</v>
      </c>
      <c r="E925" t="str">
        <f t="shared" ca="1" si="14"/>
        <v>"2084019373" : "Lego Racing",</v>
      </c>
    </row>
    <row r="926" spans="1:5" ht="15.75" customHeight="1">
      <c r="A926" s="6">
        <v>2084019378</v>
      </c>
      <c r="B926" s="7" t="s">
        <v>1486</v>
      </c>
      <c r="C926" s="7" t="s">
        <v>1487</v>
      </c>
      <c r="D926" s="3" t="str">
        <f ca="1">IFERROR(__xludf.DUMMYFUNCTION("GOOGLETRANSLATE(B926,""ja"",""vi"")"),"loạt thành phố")</f>
        <v>loạt thành phố</v>
      </c>
      <c r="E926" t="str">
        <f t="shared" ca="1" si="14"/>
        <v>"2084019378" : "loạt thành phố",</v>
      </c>
    </row>
    <row r="927" spans="1:5" ht="15.75" customHeight="1">
      <c r="A927" s="6">
        <v>2084019380</v>
      </c>
      <c r="B927" s="7" t="s">
        <v>1488</v>
      </c>
      <c r="C927" s="7" t="s">
        <v>1489</v>
      </c>
      <c r="D927" s="3" t="str">
        <f ca="1">IFERROR(__xludf.DUMMYFUNCTION("GOOGLETRANSLATE(B927,""ja"",""vi"")"),"Cuộc phiêu lưu loạt của thế giới")</f>
        <v>Cuộc phiêu lưu loạt của thế giới</v>
      </c>
      <c r="E927" t="str">
        <f t="shared" ca="1" si="14"/>
        <v>"2084019380" : "Cuộc phiêu lưu loạt của thế giới",</v>
      </c>
    </row>
    <row r="928" spans="1:5" ht="15.75" customHeight="1">
      <c r="A928" s="6">
        <v>2084019381</v>
      </c>
      <c r="B928" s="7" t="s">
        <v>1490</v>
      </c>
      <c r="C928" s="7" t="s">
        <v>1491</v>
      </c>
      <c r="D928" s="3" t="str">
        <f ca="1">IFERROR(__xludf.DUMMYFUNCTION("GOOGLETRANSLATE(B928,""ja"",""vi"")"),"kỹ thuật Lego")</f>
        <v>kỹ thuật Lego</v>
      </c>
      <c r="E928" t="str">
        <f t="shared" ca="1" si="14"/>
        <v>"2084019381" : "kỹ thuật Lego",</v>
      </c>
    </row>
    <row r="929" spans="1:5" ht="15.75" customHeight="1">
      <c r="A929" s="6">
        <v>2084062640</v>
      </c>
      <c r="B929" s="7" t="s">
        <v>1492</v>
      </c>
      <c r="C929" s="7" t="s">
        <v>1493</v>
      </c>
      <c r="D929" s="3" t="str">
        <f ca="1">IFERROR(__xludf.DUMMYFUNCTION("GOOGLETRANSLATE(B929,""ja"",""vi"")"),"Lego Harry Potter")</f>
        <v>Lego Harry Potter</v>
      </c>
      <c r="E929" t="str">
        <f t="shared" ca="1" si="14"/>
        <v>"2084062640" : "Lego Harry Potter",</v>
      </c>
    </row>
    <row r="930" spans="1:5" ht="15.75" customHeight="1">
      <c r="A930" s="6">
        <v>2084062639</v>
      </c>
      <c r="B930" s="7" t="s">
        <v>1494</v>
      </c>
      <c r="C930" s="7" t="s">
        <v>1495</v>
      </c>
      <c r="D930" s="3" t="str">
        <f ca="1">IFERROR(__xludf.DUMMYFUNCTION("GOOGLETRANSLATE(B930,""ja"",""vi"")"),"Lego Bionicle")</f>
        <v>Lego Bionicle</v>
      </c>
      <c r="E930" t="str">
        <f t="shared" ca="1" si="14"/>
        <v>"2084062639" : "Lego Bionicle",</v>
      </c>
    </row>
    <row r="931" spans="1:5" ht="15.75" customHeight="1">
      <c r="A931" s="6">
        <v>2084019383</v>
      </c>
      <c r="B931" s="7" t="s">
        <v>1496</v>
      </c>
      <c r="C931" s="7" t="s">
        <v>1497</v>
      </c>
      <c r="D931" s="3" t="str">
        <f ca="1">IFERROR(__xludf.DUMMYFUNCTION("GOOGLETRANSLATE(B931,""ja"",""vi"")"),"Phụ tùng, phụ tùng")</f>
        <v>Phụ tùng, phụ tùng</v>
      </c>
      <c r="E931" t="str">
        <f t="shared" ca="1" si="14"/>
        <v>"2084019383" : "Phụ tùng, phụ tùng",</v>
      </c>
    </row>
    <row r="932" spans="1:5" ht="15.75" customHeight="1">
      <c r="A932" s="6">
        <v>2084019384</v>
      </c>
      <c r="B932" s="7" t="s">
        <v>1498</v>
      </c>
      <c r="C932" s="7" t="s">
        <v>1499</v>
      </c>
      <c r="D932" s="3" t="str">
        <f ca="1">IFERROR(__xludf.DUMMYFUNCTION("GOOGLETRANSLATE(B932,""ja"",""vi"")"),"Hàng hóa liên quan")</f>
        <v>Hàng hóa liên quan</v>
      </c>
      <c r="E932" t="str">
        <f t="shared" ca="1" si="14"/>
        <v>"2084019384" : "Hàng hóa liên quan",</v>
      </c>
    </row>
    <row r="933" spans="1:5" ht="15.75" customHeight="1">
      <c r="A933" s="6">
        <v>2084045610</v>
      </c>
      <c r="B933" s="7" t="s">
        <v>1500</v>
      </c>
      <c r="C933" s="7" t="s">
        <v>1501</v>
      </c>
      <c r="D933" s="3" t="str">
        <f ca="1">IFERROR(__xludf.DUMMYFUNCTION("GOOGLETRANSLATE(B933,""ja"",""vi"")"),"Coca-Cola Bộ sưu tập")</f>
        <v>Coca-Cola Bộ sưu tập</v>
      </c>
      <c r="E933" t="str">
        <f t="shared" ca="1" si="14"/>
        <v>"2084045610" : "Coca-Cola Bộ sưu tập",</v>
      </c>
    </row>
    <row r="934" spans="1:5" ht="15.75" customHeight="1">
      <c r="A934" s="6">
        <v>2084019385</v>
      </c>
      <c r="B934" s="7" t="s">
        <v>105</v>
      </c>
      <c r="C934" s="7" t="s">
        <v>1502</v>
      </c>
      <c r="D934" s="3" t="str">
        <f ca="1">IFERROR(__xludf.DUMMYFUNCTION("GOOGLETRANSLATE(B934,""ja"",""vi"")"),"nếu không thì")</f>
        <v>nếu không thì</v>
      </c>
      <c r="E934" t="str">
        <f t="shared" ca="1" si="14"/>
        <v>"2084019385" : "nếu không thì",</v>
      </c>
    </row>
    <row r="935" spans="1:5" ht="15.75" customHeight="1">
      <c r="A935" s="6">
        <v>2084242868</v>
      </c>
      <c r="B935" s="7" t="s">
        <v>1503</v>
      </c>
      <c r="C935" s="7" t="s">
        <v>1504</v>
      </c>
      <c r="D935" s="3" t="str">
        <f ca="1">IFERROR(__xludf.DUMMYFUNCTION("GOOGLETRANSLATE(B935,""ja"",""vi"")"),"Kim loại Fight Beyblade")</f>
        <v>Kim loại Fight Beyblade</v>
      </c>
      <c r="E935" t="str">
        <f t="shared" ca="1" si="14"/>
        <v>"2084242868" : "Kim loại Fight Beyblade",</v>
      </c>
    </row>
    <row r="936" spans="1:5" ht="15.75" customHeight="1">
      <c r="A936" s="6">
        <v>2084041906</v>
      </c>
      <c r="B936" s="7" t="s">
        <v>105</v>
      </c>
      <c r="C936" s="7" t="s">
        <v>1505</v>
      </c>
      <c r="D936" s="3" t="str">
        <f ca="1">IFERROR(__xludf.DUMMYFUNCTION("GOOGLETRANSLATE(B936,""ja"",""vi"")"),"nếu không thì")</f>
        <v>nếu không thì</v>
      </c>
      <c r="E936" t="str">
        <f t="shared" ca="1" si="14"/>
        <v>"2084041906" : "nếu không thì",</v>
      </c>
    </row>
    <row r="937" spans="1:5" ht="15.75" customHeight="1">
      <c r="A937" s="6">
        <v>2084045577</v>
      </c>
      <c r="B937" s="7" t="s">
        <v>1506</v>
      </c>
      <c r="C937" s="7" t="s">
        <v>1507</v>
      </c>
      <c r="D937" s="3" t="str">
        <f ca="1">IFERROR(__xludf.DUMMYFUNCTION("GOOGLETRANSLATE(B937,""ja"",""vi"")"),"Nhân vật, lời nói")</f>
        <v>Nhân vật, lời nói</v>
      </c>
      <c r="E937" t="str">
        <f t="shared" ca="1" si="14"/>
        <v>"2084045577" : "Nhân vật, lời nói",</v>
      </c>
    </row>
    <row r="938" spans="1:5" ht="15.75" customHeight="1">
      <c r="A938" s="6">
        <v>2084045578</v>
      </c>
      <c r="B938" s="7" t="s">
        <v>1508</v>
      </c>
      <c r="C938" s="7" t="s">
        <v>1509</v>
      </c>
      <c r="D938" s="3" t="str">
        <f ca="1">IFERROR(__xludf.DUMMYFUNCTION("GOOGLETRANSLATE(B938,""ja"",""vi"")"),"Kazu, tính toán")</f>
        <v>Kazu, tính toán</v>
      </c>
      <c r="E938" t="str">
        <f t="shared" ca="1" si="14"/>
        <v>"2084045578" : "Kazu, tính toán",</v>
      </c>
    </row>
    <row r="939" spans="1:5" ht="15.75" customHeight="1">
      <c r="A939" s="6">
        <v>2084045579</v>
      </c>
      <c r="B939" s="7" t="s">
        <v>1510</v>
      </c>
      <c r="C939" s="7" t="s">
        <v>1511</v>
      </c>
      <c r="D939" s="3" t="str">
        <f ca="1">IFERROR(__xludf.DUMMYFUNCTION("GOOGLETRANSLATE(B939,""ja"",""vi"")"),"Nhịp điệu, âm nhạc")</f>
        <v>Nhịp điệu, âm nhạc</v>
      </c>
      <c r="E939" t="str">
        <f t="shared" ca="1" si="14"/>
        <v>"2084045579" : "Nhịp điệu, âm nhạc",</v>
      </c>
    </row>
    <row r="940" spans="1:5" ht="15.75" customHeight="1">
      <c r="A940" s="6">
        <v>2084045580</v>
      </c>
      <c r="B940" s="7" t="s">
        <v>1512</v>
      </c>
      <c r="C940" s="7" t="s">
        <v>1513</v>
      </c>
      <c r="D940" s="3" t="str">
        <f ca="1">IFERROR(__xludf.DUMMYFUNCTION("GOOGLETRANSLATE(B940,""ja"",""vi"")"),"Anh")</f>
        <v>Anh</v>
      </c>
      <c r="E940" t="str">
        <f t="shared" ca="1" si="14"/>
        <v>"2084045580" : "Anh",</v>
      </c>
    </row>
    <row r="941" spans="1:5" ht="15.75" customHeight="1">
      <c r="A941" s="6">
        <v>2084044884</v>
      </c>
      <c r="B941" s="7" t="s">
        <v>1408</v>
      </c>
      <c r="C941" s="7" t="s">
        <v>1514</v>
      </c>
      <c r="D941" s="3" t="str">
        <f ca="1">IFERROR(__xludf.DUMMYFUNCTION("GOOGLETRANSLATE(B941,""ja"",""vi"")"),"Carta")</f>
        <v>Carta</v>
      </c>
      <c r="E941" t="str">
        <f t="shared" ca="1" si="14"/>
        <v>"2084044884" : "Carta",</v>
      </c>
    </row>
    <row r="942" spans="1:5" ht="15.75" customHeight="1">
      <c r="A942" s="6">
        <v>26018</v>
      </c>
      <c r="B942" s="7" t="s">
        <v>1515</v>
      </c>
      <c r="C942" s="7" t="s">
        <v>1516</v>
      </c>
      <c r="D942" s="3" t="str">
        <f ca="1">IFERROR(__xludf.DUMMYFUNCTION("GOOGLETRANSLATE(B942,""ja"",""vi"")"),"Puzzle")</f>
        <v>Puzzle</v>
      </c>
      <c r="E942" t="str">
        <f t="shared" ca="1" si="14"/>
        <v>"26018" : "Puzzle",</v>
      </c>
    </row>
    <row r="943" spans="1:5" ht="15.75" customHeight="1">
      <c r="A943" s="6">
        <v>40510</v>
      </c>
      <c r="B943" s="7" t="s">
        <v>1517</v>
      </c>
      <c r="C943" s="7" t="s">
        <v>1518</v>
      </c>
      <c r="D943" s="3" t="str">
        <f ca="1">IFERROR(__xludf.DUMMYFUNCTION("GOOGLETRANSLATE(B943,""ja"",""vi"")"),"Khối, các khối xây dựng")</f>
        <v>Khối, các khối xây dựng</v>
      </c>
      <c r="E943" t="str">
        <f t="shared" ca="1" si="14"/>
        <v>"40510" : "Khối, các khối xây dựng",</v>
      </c>
    </row>
    <row r="944" spans="1:5" ht="15.75" customHeight="1">
      <c r="A944" s="6">
        <v>2084008619</v>
      </c>
      <c r="B944" s="7" t="s">
        <v>1519</v>
      </c>
      <c r="C944" s="7" t="s">
        <v>1520</v>
      </c>
      <c r="D944" s="3" t="str">
        <f ca="1">IFERROR(__xludf.DUMMYFUNCTION("GOOGLETRANSLATE(B944,""ja"",""vi"")"),"sách nghiên cứu")</f>
        <v>sách nghiên cứu</v>
      </c>
      <c r="E944" t="str">
        <f t="shared" ca="1" si="14"/>
        <v>"2084008619" : "sách nghiên cứu",</v>
      </c>
    </row>
    <row r="945" spans="1:5" ht="15.75" customHeight="1">
      <c r="A945" s="6">
        <v>2084008647</v>
      </c>
      <c r="B945" s="7" t="s">
        <v>1521</v>
      </c>
      <c r="C945" s="7" t="s">
        <v>1522</v>
      </c>
      <c r="D945" s="3" t="str">
        <f ca="1">IFERROR(__xludf.DUMMYFUNCTION("GOOGLETRANSLATE(B945,""ja"",""vi"")"),"cuốn truyện tranh giáo dục, học tập cuốn sách")</f>
        <v>cuốn truyện tranh giáo dục, học tập cuốn sách</v>
      </c>
      <c r="E945" t="str">
        <f t="shared" ca="1" si="14"/>
        <v>"2084008647" : "cuốn truyện tranh giáo dục, học tập cuốn sách",</v>
      </c>
    </row>
    <row r="946" spans="1:5" ht="15.75" customHeight="1">
      <c r="A946" s="6">
        <v>2084045581</v>
      </c>
      <c r="B946" s="7" t="s">
        <v>105</v>
      </c>
      <c r="C946" s="7" t="s">
        <v>1523</v>
      </c>
      <c r="D946" s="3" t="str">
        <f ca="1">IFERROR(__xludf.DUMMYFUNCTION("GOOGLETRANSLATE(B946,""ja"",""vi"")"),"nếu không thì")</f>
        <v>nếu không thì</v>
      </c>
      <c r="E946" t="str">
        <f t="shared" ca="1" si="14"/>
        <v>"2084045581" : "nếu không thì",</v>
      </c>
    </row>
    <row r="947" spans="1:5" ht="15.75" customHeight="1">
      <c r="A947" s="6">
        <v>22476</v>
      </c>
      <c r="B947" s="7" t="s">
        <v>1524</v>
      </c>
      <c r="C947" s="7" t="s">
        <v>1525</v>
      </c>
      <c r="D947" s="3" t="str">
        <f ca="1">IFERROR(__xludf.DUMMYFUNCTION("GOOGLETRANSLATE(B947,""ja"",""vi"")"),"Guitar")</f>
        <v>Guitar</v>
      </c>
      <c r="E947" t="str">
        <f t="shared" ca="1" si="14"/>
        <v>"22476" : "Guitar",</v>
      </c>
    </row>
    <row r="948" spans="1:5" ht="15.75" customHeight="1">
      <c r="A948" s="6">
        <v>22480</v>
      </c>
      <c r="B948" s="7" t="s">
        <v>1526</v>
      </c>
      <c r="C948" s="7" t="s">
        <v>1527</v>
      </c>
      <c r="D948" s="3" t="str">
        <f ca="1">IFERROR(__xludf.DUMMYFUNCTION("GOOGLETRANSLATE(B948,""ja"",""vi"")"),"căn cứ")</f>
        <v>căn cứ</v>
      </c>
      <c r="E948" t="str">
        <f t="shared" ca="1" si="14"/>
        <v>"22480" : "căn cứ",</v>
      </c>
    </row>
    <row r="949" spans="1:5" ht="15.75" customHeight="1">
      <c r="A949" s="6">
        <v>22572</v>
      </c>
      <c r="B949" s="7" t="s">
        <v>1528</v>
      </c>
      <c r="C949" s="7" t="s">
        <v>1529</v>
      </c>
      <c r="D949" s="3" t="str">
        <f ca="1">IFERROR(__xludf.DUMMYFUNCTION("GOOGLETRANSLATE(B949,""ja"",""vi"")"),"nhạc cụ dây")</f>
        <v>nhạc cụ dây</v>
      </c>
      <c r="E949" t="str">
        <f t="shared" ca="1" si="14"/>
        <v>"22572" : "nhạc cụ dây",</v>
      </c>
    </row>
    <row r="950" spans="1:5" ht="15.75" customHeight="1">
      <c r="A950" s="6">
        <v>22440</v>
      </c>
      <c r="B950" s="7" t="s">
        <v>1530</v>
      </c>
      <c r="C950" s="7" t="s">
        <v>1531</v>
      </c>
      <c r="D950" s="3" t="str">
        <f ca="1">IFERROR(__xludf.DUMMYFUNCTION("GOOGLETRANSLATE(B950,""ja"",""vi"")"),"gió cụ")</f>
        <v>gió cụ</v>
      </c>
      <c r="E950" t="str">
        <f t="shared" ca="1" si="14"/>
        <v>"22440" : "gió cụ",</v>
      </c>
    </row>
    <row r="951" spans="1:5" ht="15.75" customHeight="1">
      <c r="A951" s="6">
        <v>22532</v>
      </c>
      <c r="B951" s="7" t="s">
        <v>1532</v>
      </c>
      <c r="C951" s="7" t="s">
        <v>1533</v>
      </c>
      <c r="D951" s="3" t="str">
        <f ca="1">IFERROR(__xludf.DUMMYFUNCTION("GOOGLETRANSLATE(B951,""ja"",""vi"")"),"công cụ bàn phím")</f>
        <v>công cụ bàn phím</v>
      </c>
      <c r="E951" t="str">
        <f t="shared" ca="1" si="14"/>
        <v>"22532" : "công cụ bàn phím",</v>
      </c>
    </row>
    <row r="952" spans="1:5" ht="15.75" customHeight="1">
      <c r="A952" s="6">
        <v>22500</v>
      </c>
      <c r="B952" s="7" t="s">
        <v>1534</v>
      </c>
      <c r="C952" s="7" t="s">
        <v>1535</v>
      </c>
      <c r="D952" s="3" t="str">
        <f ca="1">IFERROR(__xludf.DUMMYFUNCTION("GOOGLETRANSLATE(B952,""ja"",""vi"")"),"bộ gõ nhạc cụ")</f>
        <v>bộ gõ nhạc cụ</v>
      </c>
      <c r="E952" t="str">
        <f t="shared" ca="1" si="14"/>
        <v>"22500" : "bộ gõ nhạc cụ",</v>
      </c>
    </row>
    <row r="953" spans="1:5" ht="15.75" customHeight="1">
      <c r="A953" s="6">
        <v>2084305860</v>
      </c>
      <c r="B953" s="7" t="s">
        <v>1536</v>
      </c>
      <c r="C953" s="7" t="s">
        <v>1537</v>
      </c>
      <c r="D953" s="3" t="str">
        <f ca="1">IFERROR(__xludf.DUMMYFUNCTION("GOOGLETRANSLATE(B953,""ja"",""vi"")"),"nhạc cụ Nhật Bản")</f>
        <v>nhạc cụ Nhật Bản</v>
      </c>
      <c r="E953" t="str">
        <f t="shared" ca="1" si="14"/>
        <v>"2084305860" : "nhạc cụ Nhật Bản",</v>
      </c>
    </row>
    <row r="954" spans="1:5" ht="15.75" customHeight="1">
      <c r="A954" s="6">
        <v>2084019010</v>
      </c>
      <c r="B954" s="7" t="s">
        <v>1538</v>
      </c>
      <c r="C954" s="7" t="s">
        <v>1539</v>
      </c>
      <c r="D954" s="3" t="str">
        <f ca="1">IFERROR(__xludf.DUMMYFUNCTION("GOOGLETRANSLATE(B954,""ja"",""vi"")"),"Ghi âm, thiết bị PA")</f>
        <v>Ghi âm, thiết bị PA</v>
      </c>
      <c r="E954" t="str">
        <f t="shared" ca="1" si="14"/>
        <v>"2084019010" : "Ghi âm, thiết bị PA",</v>
      </c>
    </row>
    <row r="955" spans="1:5" ht="15.75" customHeight="1">
      <c r="A955" s="6">
        <v>2084261081</v>
      </c>
      <c r="B955" s="7" t="s">
        <v>1540</v>
      </c>
      <c r="C955" s="7" t="s">
        <v>1541</v>
      </c>
      <c r="D955" s="3" t="str">
        <f ca="1">IFERROR(__xludf.DUMMYFUNCTION("GOOGLETRANSLATE(B955,""ja"",""vi"")"),"thiết bị DJ")</f>
        <v>thiết bị DJ</v>
      </c>
      <c r="E955" t="str">
        <f t="shared" ca="1" si="14"/>
        <v>"2084261081" : "thiết bị DJ",</v>
      </c>
    </row>
    <row r="956" spans="1:5" ht="15.75" customHeight="1">
      <c r="A956" s="6">
        <v>22544</v>
      </c>
      <c r="B956" s="7" t="s">
        <v>1542</v>
      </c>
      <c r="C956" s="7" t="s">
        <v>1543</v>
      </c>
      <c r="D956" s="3" t="str">
        <f ca="1">IFERROR(__xludf.DUMMYFUNCTION("GOOGLETRANSLATE(B956,""ja"",""vi"")"),"DTM, DAW")</f>
        <v>DTM, DAW</v>
      </c>
      <c r="E956" t="str">
        <f t="shared" ca="1" si="14"/>
        <v>"22544" : "DTM, DAW",</v>
      </c>
    </row>
    <row r="957" spans="1:5" ht="15.75" customHeight="1">
      <c r="A957" s="6">
        <v>2084005286</v>
      </c>
      <c r="B957" s="7" t="s">
        <v>1544</v>
      </c>
      <c r="C957" s="7" t="s">
        <v>1545</v>
      </c>
      <c r="D957" s="3" t="str">
        <f ca="1">IFERROR(__xludf.DUMMYFUNCTION("GOOGLETRANSLATE(B957,""ja"",""vi"")"),"amp")</f>
        <v>amp</v>
      </c>
      <c r="E957" t="str">
        <f t="shared" ca="1" si="14"/>
        <v>"2084005286" : "amp",</v>
      </c>
    </row>
    <row r="958" spans="1:5" ht="15.75" customHeight="1">
      <c r="A958" s="6">
        <v>2084210466</v>
      </c>
      <c r="B958" s="7" t="s">
        <v>1546</v>
      </c>
      <c r="C958" s="7" t="s">
        <v>1547</v>
      </c>
      <c r="D958" s="3" t="str">
        <f ca="1">IFERROR(__xludf.DUMMYFUNCTION("GOOGLETRANSLATE(B958,""ja"",""vi"")"),"máy nhịp")</f>
        <v>máy nhịp</v>
      </c>
      <c r="E958" t="str">
        <f t="shared" ca="1" si="14"/>
        <v>"2084210466" : "máy nhịp",</v>
      </c>
    </row>
    <row r="959" spans="1:5" ht="15.75" customHeight="1">
      <c r="A959" s="6">
        <v>2084210467</v>
      </c>
      <c r="B959" s="7" t="s">
        <v>1548</v>
      </c>
      <c r="C959" s="7" t="s">
        <v>1549</v>
      </c>
      <c r="D959" s="3" t="str">
        <f ca="1">IFERROR(__xludf.DUMMYFUNCTION("GOOGLETRANSLATE(B959,""ja"",""vi"")"),"âm nhạc đứng")</f>
        <v>âm nhạc đứng</v>
      </c>
      <c r="E959" t="str">
        <f t="shared" ca="1" si="14"/>
        <v>"2084210467" : "âm nhạc đứng",</v>
      </c>
    </row>
    <row r="960" spans="1:5" ht="15.75" customHeight="1">
      <c r="A960" s="6">
        <v>2084285349</v>
      </c>
      <c r="B960" s="7" t="s">
        <v>1550</v>
      </c>
      <c r="C960" s="7" t="s">
        <v>1551</v>
      </c>
      <c r="D960" s="3" t="str">
        <f ca="1">IFERROR(__xludf.DUMMYFUNCTION("GOOGLETRANSLATE(B960,""ja"",""vi"")"),"nguồn cung cấp cách âm")</f>
        <v>nguồn cung cấp cách âm</v>
      </c>
      <c r="E960" t="str">
        <f t="shared" ca="1" si="14"/>
        <v>"2084285349" : "nguồn cung cấp cách âm",</v>
      </c>
    </row>
    <row r="961" spans="1:5" ht="15.75" customHeight="1">
      <c r="A961" s="6">
        <v>2084024191</v>
      </c>
      <c r="B961" s="7" t="s">
        <v>1552</v>
      </c>
      <c r="C961" s="7" t="s">
        <v>1553</v>
      </c>
      <c r="D961" s="3" t="str">
        <f ca="1">IFERROR(__xludf.DUMMYFUNCTION("GOOGLETRANSLATE(B961,""ja"",""vi"")"),"đồ chơi âm nhạc")</f>
        <v>đồ chơi âm nhạc</v>
      </c>
      <c r="E961" t="str">
        <f t="shared" ca="1" si="14"/>
        <v>"2084024191" : "đồ chơi âm nhạc",</v>
      </c>
    </row>
    <row r="962" spans="1:5" ht="15.75" customHeight="1">
      <c r="A962" s="6">
        <v>2084009086</v>
      </c>
      <c r="B962" s="7" t="s">
        <v>1554</v>
      </c>
      <c r="C962" s="7" t="s">
        <v>1555</v>
      </c>
      <c r="D962" s="3" t="str">
        <f ca="1">IFERROR(__xludf.DUMMYFUNCTION("GOOGLETRANSLATE(B962,""ja"",""vi"")"),"số điểm")</f>
        <v>số điểm</v>
      </c>
      <c r="E962" t="str">
        <f t="shared" ref="E962:E1025" ca="1" si="15">CONCATENATE(CHAR(34)&amp;"",A962,""&amp;CHAR(34)," : ", CHAR(34)&amp;"",D962,""&amp;CHAR(34),",")</f>
        <v>"2084009086" : "số điểm",</v>
      </c>
    </row>
    <row r="963" spans="1:5" ht="15.75" customHeight="1">
      <c r="A963" s="6">
        <v>2084307734</v>
      </c>
      <c r="B963" s="7" t="s">
        <v>1556</v>
      </c>
      <c r="C963" s="7" t="s">
        <v>1557</v>
      </c>
      <c r="D963" s="3" t="str">
        <f ca="1">IFERROR(__xludf.DUMMYFUNCTION("GOOGLETRANSLATE(B963,""ja"",""vi"")"),"Ghi âm, sản xuất âm nhạc")</f>
        <v>Ghi âm, sản xuất âm nhạc</v>
      </c>
      <c r="E963" t="str">
        <f t="shared" ca="1" si="15"/>
        <v>"2084307734" : "Ghi âm, sản xuất âm nhạc",</v>
      </c>
    </row>
    <row r="964" spans="1:5" ht="15.75" customHeight="1">
      <c r="A964" s="6">
        <v>2084307822</v>
      </c>
      <c r="B964" s="7" t="s">
        <v>1558</v>
      </c>
      <c r="C964" s="7" t="s">
        <v>1559</v>
      </c>
      <c r="D964" s="3" t="str">
        <f ca="1">IFERROR(__xludf.DUMMYFUNCTION("GOOGLETRANSLATE(B964,""ja"",""vi"")"),"sửa chữa nhạc cụ, tu sửa")</f>
        <v>sửa chữa nhạc cụ, tu sửa</v>
      </c>
      <c r="E964" t="str">
        <f t="shared" ca="1" si="15"/>
        <v>"2084307822" : "sửa chữa nhạc cụ, tu sửa",</v>
      </c>
    </row>
    <row r="965" spans="1:5" ht="15.75" customHeight="1">
      <c r="A965" s="6">
        <v>2084307743</v>
      </c>
      <c r="B965" s="7" t="s">
        <v>1560</v>
      </c>
      <c r="C965" s="7" t="s">
        <v>1561</v>
      </c>
      <c r="D965" s="3" t="str">
        <f ca="1">IFERROR(__xludf.DUMMYFUNCTION("GOOGLETRANSLATE(B965,""ja"",""vi"")"),"bài học nhạc cụ")</f>
        <v>bài học nhạc cụ</v>
      </c>
      <c r="E965" t="str">
        <f t="shared" ca="1" si="15"/>
        <v>"2084307743" : "bài học nhạc cụ",</v>
      </c>
    </row>
    <row r="966" spans="1:5" ht="15.75" customHeight="1">
      <c r="A966" s="6">
        <v>2084307790</v>
      </c>
      <c r="B966" s="7" t="s">
        <v>1562</v>
      </c>
      <c r="C966" s="7" t="s">
        <v>1563</v>
      </c>
      <c r="D966" s="3" t="str">
        <f ca="1">IFERROR(__xludf.DUMMYFUNCTION("GOOGLETRANSLATE(B966,""ja"",""vi"")"),"cho thuê nhạc cụ")</f>
        <v>cho thuê nhạc cụ</v>
      </c>
      <c r="E966" t="str">
        <f t="shared" ca="1" si="15"/>
        <v>"2084307790" : "cho thuê nhạc cụ",</v>
      </c>
    </row>
    <row r="967" spans="1:5" ht="15.75" customHeight="1">
      <c r="A967" s="6">
        <v>22656</v>
      </c>
      <c r="B967" s="7" t="s">
        <v>105</v>
      </c>
      <c r="C967" s="7" t="s">
        <v>1564</v>
      </c>
      <c r="D967" s="3" t="str">
        <f ca="1">IFERROR(__xludf.DUMMYFUNCTION("GOOGLETRANSLATE(B967,""ja"",""vi"")"),"nếu không thì")</f>
        <v>nếu không thì</v>
      </c>
      <c r="E967" t="str">
        <f t="shared" ca="1" si="15"/>
        <v>"22656" : "nếu không thì",</v>
      </c>
    </row>
    <row r="968" spans="1:5" ht="15.75" customHeight="1">
      <c r="A968" s="6">
        <v>26024</v>
      </c>
      <c r="B968" s="7" t="s">
        <v>1565</v>
      </c>
      <c r="C968" s="7" t="s">
        <v>1566</v>
      </c>
      <c r="D968" s="3" t="str">
        <f ca="1">IFERROR(__xludf.DUMMYFUNCTION("GOOGLETRANSLATE(B968,""ja"",""vi"")"),"trò chơi lắp hình")</f>
        <v>trò chơi lắp hình</v>
      </c>
      <c r="E968" t="str">
        <f t="shared" ca="1" si="15"/>
        <v>"26024" : "trò chơi lắp hình",</v>
      </c>
    </row>
    <row r="969" spans="1:5" ht="15.75" customHeight="1">
      <c r="A969" s="6">
        <v>26026</v>
      </c>
      <c r="B969" s="7" t="s">
        <v>1567</v>
      </c>
      <c r="C969" s="7" t="s">
        <v>1568</v>
      </c>
      <c r="D969" s="3" t="str">
        <f ca="1">IFERROR(__xludf.DUMMYFUNCTION("GOOGLETRANSLATE(B969,""ja"",""vi"")"),"Cube Rubik")</f>
        <v>Cube Rubik</v>
      </c>
      <c r="E969" t="str">
        <f t="shared" ca="1" si="15"/>
        <v>"26026" : "Cube Rubik",</v>
      </c>
    </row>
    <row r="970" spans="1:5" ht="15.75" customHeight="1">
      <c r="A970" s="6">
        <v>2084019425</v>
      </c>
      <c r="B970" s="7" t="s">
        <v>1569</v>
      </c>
      <c r="C970" s="7" t="s">
        <v>1570</v>
      </c>
      <c r="D970" s="3" t="str">
        <f ca="1">IFERROR(__xludf.DUMMYFUNCTION("GOOGLETRANSLATE(B970,""ja"",""vi"")"),"Puzzle vòng")</f>
        <v>Puzzle vòng</v>
      </c>
      <c r="E970" t="str">
        <f t="shared" ca="1" si="15"/>
        <v>"2084019425" : "Puzzle vòng",</v>
      </c>
    </row>
    <row r="971" spans="1:5" ht="15.75" customHeight="1">
      <c r="A971" s="6">
        <v>2084019424</v>
      </c>
      <c r="B971" s="7" t="s">
        <v>1571</v>
      </c>
      <c r="C971" s="7" t="s">
        <v>1572</v>
      </c>
      <c r="D971" s="3" t="str">
        <f ca="1">IFERROR(__xludf.DUMMYFUNCTION("GOOGLETRANSLATE(B971,""ja"",""vi"")"),"câu đố ba chiều")</f>
        <v>câu đố ba chiều</v>
      </c>
      <c r="E971" t="str">
        <f t="shared" ca="1" si="15"/>
        <v>"2084019424" : "câu đố ba chiều",</v>
      </c>
    </row>
    <row r="972" spans="1:5" ht="15.75" customHeight="1">
      <c r="A972" s="6">
        <v>27711</v>
      </c>
      <c r="B972" s="7" t="s">
        <v>105</v>
      </c>
      <c r="C972" s="7" t="s">
        <v>1573</v>
      </c>
      <c r="D972" s="3" t="str">
        <f ca="1">IFERROR(__xludf.DUMMYFUNCTION("GOOGLETRANSLATE(B972,""ja"",""vi"")"),"nếu không thì")</f>
        <v>nếu không thì</v>
      </c>
      <c r="E972" t="str">
        <f t="shared" ca="1" si="15"/>
        <v>"27711" : "nếu không thì",</v>
      </c>
    </row>
    <row r="973" spans="1:5" ht="15.75" customHeight="1">
      <c r="A973" s="6">
        <v>40516</v>
      </c>
      <c r="B973" s="7" t="s">
        <v>1574</v>
      </c>
      <c r="C973" s="7" t="s">
        <v>1575</v>
      </c>
      <c r="D973" s="3" t="str">
        <f ca="1">IFERROR(__xludf.DUMMYFUNCTION("GOOGLETRANSLATE(B973,""ja"",""vi"")"),"LEGO")</f>
        <v>LEGO</v>
      </c>
      <c r="E973" t="str">
        <f t="shared" ca="1" si="15"/>
        <v>"40516" : "LEGO",</v>
      </c>
    </row>
    <row r="974" spans="1:5" ht="15.75" customHeight="1">
      <c r="A974" s="6">
        <v>2084048015</v>
      </c>
      <c r="B974" s="7" t="s">
        <v>620</v>
      </c>
      <c r="C974" s="7" t="s">
        <v>1576</v>
      </c>
      <c r="D974" s="3" t="str">
        <f ca="1">IFERROR(__xludf.DUMMYFUNCTION("GOOGLETRANSLATE(B974,""ja"",""vi"")"),"Kubrick, gạch trần")</f>
        <v>Kubrick, gạch trần</v>
      </c>
      <c r="E974" t="str">
        <f t="shared" ca="1" si="15"/>
        <v>"2084048015" : "Kubrick, gạch trần",</v>
      </c>
    </row>
    <row r="975" spans="1:5" ht="15.75" customHeight="1">
      <c r="A975" s="6">
        <v>40514</v>
      </c>
      <c r="B975" s="7" t="s">
        <v>1577</v>
      </c>
      <c r="C975" s="7" t="s">
        <v>1578</v>
      </c>
      <c r="D975" s="3" t="str">
        <f ca="1">IFERROR(__xludf.DUMMYFUNCTION("GOOGLETRANSLATE(B975,""ja"",""vi"")"),"khối")</f>
        <v>khối</v>
      </c>
      <c r="E975" t="str">
        <f t="shared" ca="1" si="15"/>
        <v>"40514" : "khối",</v>
      </c>
    </row>
    <row r="976" spans="1:5" ht="15.75" customHeight="1">
      <c r="A976" s="6">
        <v>2084005502</v>
      </c>
      <c r="B976" s="7" t="s">
        <v>1579</v>
      </c>
      <c r="C976" s="7" t="s">
        <v>1580</v>
      </c>
      <c r="D976" s="3" t="str">
        <f ca="1">IFERROR(__xludf.DUMMYFUNCTION("GOOGLETRANSLATE(B976,""ja"",""vi"")"),"Playmobil")</f>
        <v>Playmobil</v>
      </c>
      <c r="E976" t="str">
        <f t="shared" ca="1" si="15"/>
        <v>"2084005502" : "Playmobil",</v>
      </c>
    </row>
    <row r="977" spans="1:5" ht="15.75" customHeight="1">
      <c r="A977" s="6">
        <v>2084023884</v>
      </c>
      <c r="B977" s="7" t="s">
        <v>1581</v>
      </c>
      <c r="C977" s="7" t="s">
        <v>1582</v>
      </c>
      <c r="D977" s="3" t="str">
        <f ca="1">IFERROR(__xludf.DUMMYFUNCTION("GOOGLETRANSLATE(B977,""ja"",""vi"")"),"khối đồ chơi")</f>
        <v>khối đồ chơi</v>
      </c>
      <c r="E977" t="str">
        <f t="shared" ca="1" si="15"/>
        <v>"2084023884" : "khối đồ chơi",</v>
      </c>
    </row>
    <row r="978" spans="1:5" ht="15.75" customHeight="1">
      <c r="A978" s="6">
        <v>40515</v>
      </c>
      <c r="B978" s="7" t="s">
        <v>105</v>
      </c>
      <c r="C978" s="7" t="s">
        <v>1583</v>
      </c>
      <c r="D978" s="3" t="str">
        <f ca="1">IFERROR(__xludf.DUMMYFUNCTION("GOOGLETRANSLATE(B978,""ja"",""vi"")"),"nếu không thì")</f>
        <v>nếu không thì</v>
      </c>
      <c r="E978" t="str">
        <f t="shared" ca="1" si="15"/>
        <v>"40515" : "nếu không thì",</v>
      </c>
    </row>
    <row r="979" spans="1:5" ht="15.75" customHeight="1">
      <c r="A979" s="6">
        <v>2084315793</v>
      </c>
      <c r="B979" s="7" t="s">
        <v>1262</v>
      </c>
      <c r="C979" s="7" t="s">
        <v>1263</v>
      </c>
      <c r="D979" s="3" t="str">
        <f ca="1">IFERROR(__xludf.DUMMYFUNCTION("GOOGLETRANSLATE(B979,""ja"",""vi"")"),"Nintendo công tắc")</f>
        <v>Nintendo công tắc</v>
      </c>
      <c r="E979" t="str">
        <f t="shared" ca="1" si="15"/>
        <v>"2084315793" : "Nintendo công tắc",</v>
      </c>
    </row>
    <row r="980" spans="1:5" ht="15.75" customHeight="1">
      <c r="A980" s="6">
        <v>2084315791</v>
      </c>
      <c r="B980" s="7" t="s">
        <v>1264</v>
      </c>
      <c r="C980" s="7" t="s">
        <v>1265</v>
      </c>
      <c r="D980" s="3" t="str">
        <f ca="1">IFERROR(__xludf.DUMMYFUNCTION("GOOGLETRANSLATE(B980,""ja"",""vi"")"),"Nintendo cổ điển Mini")</f>
        <v>Nintendo cổ điển Mini</v>
      </c>
      <c r="E980" t="str">
        <f t="shared" ca="1" si="15"/>
        <v>"2084315791" : "Nintendo cổ điển Mini",</v>
      </c>
    </row>
    <row r="981" spans="1:5" ht="15.75" customHeight="1">
      <c r="A981" s="6">
        <v>2084290226</v>
      </c>
      <c r="B981" s="7" t="s">
        <v>1266</v>
      </c>
      <c r="C981" s="7" t="s">
        <v>1267</v>
      </c>
      <c r="D981" s="3" t="str">
        <f ca="1">IFERROR(__xludf.DUMMYFUNCTION("GOOGLETRANSLATE(B981,""ja"",""vi"")"),"Nintendo 3DS")</f>
        <v>Nintendo 3DS</v>
      </c>
      <c r="E981" t="str">
        <f t="shared" ca="1" si="15"/>
        <v>"2084290226" : "Nintendo 3DS",</v>
      </c>
    </row>
    <row r="982" spans="1:5" ht="15.75" customHeight="1">
      <c r="A982" s="6">
        <v>2084056539</v>
      </c>
      <c r="B982" s="7" t="s">
        <v>113</v>
      </c>
      <c r="C982" s="7" t="s">
        <v>1268</v>
      </c>
      <c r="D982" s="3" t="str">
        <f ca="1">IFERROR(__xludf.DUMMYFUNCTION("GOOGLETRANSLATE(B982,""ja"",""vi"")"),"Nintendo DS")</f>
        <v>Nintendo DS</v>
      </c>
      <c r="E982" t="str">
        <f t="shared" ca="1" si="15"/>
        <v>"2084056539" : "Nintendo DS",</v>
      </c>
    </row>
    <row r="983" spans="1:5" ht="15.75" customHeight="1">
      <c r="A983" s="6">
        <v>2084310052</v>
      </c>
      <c r="B983" s="7" t="s">
        <v>1269</v>
      </c>
      <c r="C983" s="7" t="s">
        <v>1270</v>
      </c>
      <c r="D983" s="3" t="str">
        <f ca="1">IFERROR(__xludf.DUMMYFUNCTION("GOOGLETRANSLATE(B983,""ja"",""vi"")"),"Wii U")</f>
        <v>Wii U</v>
      </c>
      <c r="E983" t="str">
        <f t="shared" ca="1" si="15"/>
        <v>"2084310052" : "Wii U",</v>
      </c>
    </row>
    <row r="984" spans="1:5" ht="15.75" customHeight="1">
      <c r="A984" s="6">
        <v>2084217064</v>
      </c>
      <c r="B984" s="7" t="s">
        <v>1271</v>
      </c>
      <c r="C984" s="7" t="s">
        <v>1272</v>
      </c>
      <c r="D984" s="3" t="str">
        <f ca="1">IFERROR(__xludf.DUMMYFUNCTION("GOOGLETRANSLATE(B984,""ja"",""vi"")"),"Wii")</f>
        <v>Wii</v>
      </c>
      <c r="E984" t="str">
        <f t="shared" ca="1" si="15"/>
        <v>"2084217064" : "Wii",</v>
      </c>
    </row>
    <row r="985" spans="1:5" ht="15.75" customHeight="1">
      <c r="A985" s="6">
        <v>2084301277</v>
      </c>
      <c r="B985" s="7" t="s">
        <v>1273</v>
      </c>
      <c r="C985" s="7" t="s">
        <v>1274</v>
      </c>
      <c r="D985" s="3" t="str">
        <f ca="1">IFERROR(__xludf.DUMMYFUNCTION("GOOGLETRANSLATE(B985,""ja"",""vi"")"),"PS Vita")</f>
        <v>PS Vita</v>
      </c>
      <c r="E985" t="str">
        <f t="shared" ca="1" si="15"/>
        <v>"2084301277" : "PS Vita",</v>
      </c>
    </row>
    <row r="986" spans="1:5" ht="15.75" customHeight="1">
      <c r="A986" s="6">
        <v>2084057109</v>
      </c>
      <c r="B986" s="7" t="s">
        <v>111</v>
      </c>
      <c r="C986" s="7" t="s">
        <v>1275</v>
      </c>
      <c r="D986" s="3" t="str">
        <f ca="1">IFERROR(__xludf.DUMMYFUNCTION("GOOGLETRANSLATE(B986,""ja"",""vi"")"),"PSP (PlayStation Portable)")</f>
        <v>PSP (PlayStation Portable)</v>
      </c>
      <c r="E986" t="str">
        <f t="shared" ca="1" si="15"/>
        <v>"2084057109" : "PSP (PlayStation Portable)",</v>
      </c>
    </row>
    <row r="987" spans="1:5" ht="15.75" customHeight="1">
      <c r="A987" s="6">
        <v>2084313826</v>
      </c>
      <c r="B987" s="7" t="s">
        <v>1276</v>
      </c>
      <c r="C987" s="7" t="s">
        <v>1277</v>
      </c>
      <c r="D987" s="3" t="str">
        <f ca="1">IFERROR(__xludf.DUMMYFUNCTION("GOOGLETRANSLATE(B987,""ja"",""vi"")"),"PlayStation 4")</f>
        <v>PlayStation 4</v>
      </c>
      <c r="E987" t="str">
        <f t="shared" ca="1" si="15"/>
        <v>"2084313826" : "PlayStation 4",</v>
      </c>
    </row>
    <row r="988" spans="1:5" ht="15.75" customHeight="1">
      <c r="A988" s="6">
        <v>2084216435</v>
      </c>
      <c r="B988" s="7" t="s">
        <v>1278</v>
      </c>
      <c r="C988" s="7" t="s">
        <v>1279</v>
      </c>
      <c r="D988" s="3" t="str">
        <f ca="1">IFERROR(__xludf.DUMMYFUNCTION("GOOGLETRANSLATE(B988,""ja"",""vi"")"),"PlayStation 3")</f>
        <v>PlayStation 3</v>
      </c>
      <c r="E988" t="str">
        <f t="shared" ca="1" si="15"/>
        <v>"2084216435" : "PlayStation 3",</v>
      </c>
    </row>
    <row r="989" spans="1:5" ht="15.75" customHeight="1">
      <c r="A989" s="6">
        <v>2084006668</v>
      </c>
      <c r="B989" s="7" t="s">
        <v>1280</v>
      </c>
      <c r="C989" s="7" t="s">
        <v>1281</v>
      </c>
      <c r="D989" s="3" t="str">
        <f ca="1">IFERROR(__xludf.DUMMYFUNCTION("GOOGLETRANSLATE(B989,""ja"",""vi"")"),"PlayStation 2")</f>
        <v>PlayStation 2</v>
      </c>
      <c r="E989" t="str">
        <f t="shared" ca="1" si="15"/>
        <v>"2084006668" : "PlayStation 2",</v>
      </c>
    </row>
    <row r="990" spans="1:5" ht="15.75" customHeight="1">
      <c r="A990" s="6">
        <v>2084314664</v>
      </c>
      <c r="B990" s="7" t="s">
        <v>1282</v>
      </c>
      <c r="C990" s="7" t="s">
        <v>1283</v>
      </c>
      <c r="D990" s="3" t="str">
        <f ca="1">IFERROR(__xludf.DUMMYFUNCTION("GOOGLETRANSLATE(B990,""ja"",""vi"")"),"Xbox One")</f>
        <v>Xbox One</v>
      </c>
      <c r="E990" t="str">
        <f t="shared" ca="1" si="15"/>
        <v>"2084314664" : "Xbox One",</v>
      </c>
    </row>
    <row r="991" spans="1:5" ht="15.75" customHeight="1">
      <c r="A991" s="6">
        <v>2084235546</v>
      </c>
      <c r="B991" s="7" t="s">
        <v>1284</v>
      </c>
      <c r="C991" s="7" t="s">
        <v>1285</v>
      </c>
      <c r="D991" s="3" t="str">
        <f ca="1">IFERROR(__xludf.DUMMYFUNCTION("GOOGLETRANSLATE(B991,""ja"",""vi"")"),"Xbox 360")</f>
        <v>Xbox 360</v>
      </c>
      <c r="E991" t="str">
        <f t="shared" ca="1" si="15"/>
        <v>"2084235546" : "Xbox 360",</v>
      </c>
    </row>
    <row r="992" spans="1:5" ht="15.75" customHeight="1">
      <c r="A992" s="6">
        <v>22860</v>
      </c>
      <c r="B992" s="7" t="s">
        <v>1286</v>
      </c>
      <c r="C992" s="7" t="s">
        <v>1287</v>
      </c>
      <c r="D992" s="3" t="str">
        <f ca="1">IFERROR(__xludf.DUMMYFUNCTION("GOOGLETRANSLATE(B992,""ja"",""vi"")"),"Playstation")</f>
        <v>Playstation</v>
      </c>
      <c r="E992" t="str">
        <f t="shared" ca="1" si="15"/>
        <v>"22860" : "Playstation",</v>
      </c>
    </row>
    <row r="993" spans="1:5" ht="15.75" customHeight="1">
      <c r="A993" s="6">
        <v>2084041580</v>
      </c>
      <c r="B993" s="7" t="s">
        <v>115</v>
      </c>
      <c r="C993" s="7" t="s">
        <v>1288</v>
      </c>
      <c r="D993" s="3" t="str">
        <f ca="1">IFERROR(__xludf.DUMMYFUNCTION("GOOGLETRANSLATE(B993,""ja"",""vi"")"),"Game Boy Advance")</f>
        <v>Game Boy Advance</v>
      </c>
      <c r="E993" t="str">
        <f t="shared" ca="1" si="15"/>
        <v>"2084041580" : "Game Boy Advance",</v>
      </c>
    </row>
    <row r="994" spans="1:5" ht="15.75" customHeight="1">
      <c r="A994" s="6">
        <v>2084063616</v>
      </c>
      <c r="B994" s="7" t="s">
        <v>1289</v>
      </c>
      <c r="C994" s="7" t="s">
        <v>1290</v>
      </c>
      <c r="D994" s="3" t="str">
        <f ca="1">IFERROR(__xludf.DUMMYFUNCTION("GOOGLETRANSLATE(B994,""ja"",""vi"")"),"Game Boy Micro")</f>
        <v>Game Boy Micro</v>
      </c>
      <c r="E994" t="str">
        <f t="shared" ca="1" si="15"/>
        <v>"2084063616" : "Game Boy Micro",</v>
      </c>
    </row>
    <row r="995" spans="1:5" ht="15.75" customHeight="1">
      <c r="A995" s="6">
        <v>27812</v>
      </c>
      <c r="B995" s="7" t="s">
        <v>117</v>
      </c>
      <c r="C995" s="7" t="s">
        <v>1291</v>
      </c>
      <c r="D995" s="3" t="str">
        <f ca="1">IFERROR(__xludf.DUMMYFUNCTION("GOOGLETRANSLATE(B995,""ja"",""vi"")"),"game Boy")</f>
        <v>game Boy</v>
      </c>
      <c r="E995" t="str">
        <f t="shared" ca="1" si="15"/>
        <v>"27812" : "game Boy",</v>
      </c>
    </row>
    <row r="996" spans="1:5" ht="15.75" customHeight="1">
      <c r="A996" s="6">
        <v>2084045784</v>
      </c>
      <c r="B996" s="7" t="s">
        <v>1292</v>
      </c>
      <c r="C996" s="7" t="s">
        <v>1293</v>
      </c>
      <c r="D996" s="3" t="str">
        <f ca="1">IFERROR(__xludf.DUMMYFUNCTION("GOOGLETRANSLATE(B996,""ja"",""vi"")"),"GameCube")</f>
        <v>GameCube</v>
      </c>
      <c r="E996" t="str">
        <f t="shared" ca="1" si="15"/>
        <v>"2084045784" : "GameCube",</v>
      </c>
    </row>
    <row r="997" spans="1:5" ht="15.75" customHeight="1">
      <c r="A997" s="6">
        <v>22850</v>
      </c>
      <c r="B997" s="7" t="s">
        <v>1294</v>
      </c>
      <c r="C997" s="7" t="s">
        <v>1295</v>
      </c>
      <c r="D997" s="3" t="str">
        <f ca="1">IFERROR(__xludf.DUMMYFUNCTION("GOOGLETRANSLATE(B997,""ja"",""vi"")"),"NINTENDO 64")</f>
        <v>NINTENDO 64</v>
      </c>
      <c r="E997" t="str">
        <f t="shared" ca="1" si="15"/>
        <v>"22850" : "NINTENDO 64",</v>
      </c>
    </row>
    <row r="998" spans="1:5" ht="15.75" customHeight="1">
      <c r="A998" s="6">
        <v>22852</v>
      </c>
      <c r="B998" s="7" t="s">
        <v>1296</v>
      </c>
      <c r="C998" s="7" t="s">
        <v>1297</v>
      </c>
      <c r="D998" s="3" t="str">
        <f ca="1">IFERROR(__xludf.DUMMYFUNCTION("GOOGLETRANSLATE(B998,""ja"",""vi"")"),"SNES")</f>
        <v>SNES</v>
      </c>
      <c r="E998" t="str">
        <f t="shared" ca="1" si="15"/>
        <v>"22852" : "SNES",</v>
      </c>
    </row>
    <row r="999" spans="1:5" ht="15.75" customHeight="1">
      <c r="A999" s="6">
        <v>22853</v>
      </c>
      <c r="B999" s="7" t="s">
        <v>1298</v>
      </c>
      <c r="C999" s="7" t="s">
        <v>1299</v>
      </c>
      <c r="D999" s="3" t="str">
        <f ca="1">IFERROR(__xludf.DUMMYFUNCTION("GOOGLETRANSLATE(B999,""ja"",""vi"")"),"NES")</f>
        <v>NES</v>
      </c>
      <c r="E999" t="str">
        <f t="shared" ca="1" si="15"/>
        <v>"22853" : "NES",</v>
      </c>
    </row>
    <row r="1000" spans="1:5" ht="15.75" customHeight="1">
      <c r="A1000" s="6">
        <v>2084047852</v>
      </c>
      <c r="B1000" s="7" t="s">
        <v>1300</v>
      </c>
      <c r="C1000" s="7" t="s">
        <v>1301</v>
      </c>
      <c r="D1000" s="3" t="str">
        <f ca="1">IFERROR(__xludf.DUMMYFUNCTION("GOOGLETRANSLATE(B1000,""ja"",""vi"")"),"Xbox")</f>
        <v>Xbox</v>
      </c>
      <c r="E1000" t="str">
        <f t="shared" ca="1" si="15"/>
        <v>"2084047852" : "Xbox",</v>
      </c>
    </row>
    <row r="1001" spans="1:5" ht="15.75" customHeight="1">
      <c r="A1001" s="6">
        <v>40505</v>
      </c>
      <c r="B1001" s="7" t="s">
        <v>1302</v>
      </c>
      <c r="C1001" s="7" t="s">
        <v>1303</v>
      </c>
      <c r="D1001" s="3" t="str">
        <f ca="1">IFERROR(__xludf.DUMMYFUNCTION("GOOGLETRANSLATE(B1001,""ja"",""vi"")"),"Sega")</f>
        <v>Sega</v>
      </c>
      <c r="E1001" t="str">
        <f t="shared" ca="1" si="15"/>
        <v>"40505" : "Sega",</v>
      </c>
    </row>
    <row r="1002" spans="1:5" ht="15.75" customHeight="1">
      <c r="A1002" s="6">
        <v>2084005537</v>
      </c>
      <c r="B1002" s="7" t="s">
        <v>1304</v>
      </c>
      <c r="C1002" s="7" t="s">
        <v>1305</v>
      </c>
      <c r="D1002" s="3" t="str">
        <f ca="1">IFERROR(__xludf.DUMMYFUNCTION("GOOGLETRANSLATE(B1002,""ja"",""vi"")"),"NeoGeo")</f>
        <v>NeoGeo</v>
      </c>
      <c r="E1002" t="str">
        <f t="shared" ca="1" si="15"/>
        <v>"2084005537" : "NeoGeo",</v>
      </c>
    </row>
    <row r="1003" spans="1:5" ht="15.75" customHeight="1">
      <c r="A1003" s="6">
        <v>2084005532</v>
      </c>
      <c r="B1003" s="7" t="s">
        <v>1306</v>
      </c>
      <c r="C1003" s="7" t="s">
        <v>1307</v>
      </c>
      <c r="D1003" s="3" t="str">
        <f ca="1">IFERROR(__xludf.DUMMYFUNCTION("GOOGLETRANSLATE(B1003,""ja"",""vi"")"),"3DO")</f>
        <v>3DO</v>
      </c>
      <c r="E1003" t="str">
        <f t="shared" ca="1" si="15"/>
        <v>"2084005532" : "3DO",</v>
      </c>
    </row>
    <row r="1004" spans="1:5" ht="15.75" customHeight="1">
      <c r="A1004" s="6">
        <v>2084006676</v>
      </c>
      <c r="B1004" s="7" t="s">
        <v>1308</v>
      </c>
      <c r="C1004" s="7" t="s">
        <v>1309</v>
      </c>
      <c r="D1004" s="3" t="str">
        <f ca="1">IFERROR(__xludf.DUMMYFUNCTION("GOOGLETRANSLATE(B1004,""ja"",""vi"")"),"NEC")</f>
        <v>NEC</v>
      </c>
      <c r="E1004" t="str">
        <f t="shared" ca="1" si="15"/>
        <v>"2084006676" : "NEC",</v>
      </c>
    </row>
    <row r="1005" spans="1:5" ht="15.75" customHeight="1">
      <c r="A1005" s="6">
        <v>22864</v>
      </c>
      <c r="B1005" s="7" t="s">
        <v>1310</v>
      </c>
      <c r="C1005" s="7" t="s">
        <v>1311</v>
      </c>
      <c r="D1005" s="3" t="str">
        <f ca="1">IFERROR(__xludf.DUMMYFUNCTION("GOOGLETRANSLATE(B1005,""ja"",""vi"")"),"di động")</f>
        <v>di động</v>
      </c>
      <c r="E1005" t="str">
        <f t="shared" ca="1" si="15"/>
        <v>"22864" : "di động",</v>
      </c>
    </row>
    <row r="1006" spans="1:5" ht="15.75" customHeight="1">
      <c r="A1006" s="6">
        <v>2084047781</v>
      </c>
      <c r="B1006" s="7" t="s">
        <v>1312</v>
      </c>
      <c r="C1006" s="7" t="s">
        <v>1313</v>
      </c>
      <c r="D1006" s="3" t="str">
        <f ca="1">IFERROR(__xludf.DUMMYFUNCTION("GOOGLETRANSLATE(B1006,""ja"",""vi"")"),"Arcade trò chơi")</f>
        <v>Arcade trò chơi</v>
      </c>
      <c r="E1006" t="str">
        <f t="shared" ca="1" si="15"/>
        <v>"2084047781" : "Arcade trò chơi",</v>
      </c>
    </row>
    <row r="1007" spans="1:5" ht="15.75" customHeight="1">
      <c r="A1007" s="6">
        <v>2084005147</v>
      </c>
      <c r="B1007" s="7" t="s">
        <v>1314</v>
      </c>
      <c r="C1007" s="7" t="s">
        <v>1315</v>
      </c>
      <c r="D1007" s="3" t="str">
        <f ca="1">IFERROR(__xludf.DUMMYFUNCTION("GOOGLETRANSLATE(B1007,""ja"",""vi"")"),"CD nhạc trò chơi")</f>
        <v>CD nhạc trò chơi</v>
      </c>
      <c r="E1007" t="str">
        <f t="shared" ca="1" si="15"/>
        <v>"2084005147" : "CD nhạc trò chơi",</v>
      </c>
    </row>
    <row r="1008" spans="1:5" ht="15.75" customHeight="1">
      <c r="A1008" s="6">
        <v>2084009067</v>
      </c>
      <c r="B1008" s="7" t="s">
        <v>1316</v>
      </c>
      <c r="C1008" s="7" t="s">
        <v>1317</v>
      </c>
      <c r="D1008" s="3" t="str">
        <f ca="1">IFERROR(__xludf.DUMMYFUNCTION("GOOGLETRANSLATE(B1008,""ja"",""vi"")"),"Chiến lược trò chơi")</f>
        <v>Chiến lược trò chơi</v>
      </c>
      <c r="E1008" t="str">
        <f t="shared" ca="1" si="15"/>
        <v>"2084009067" : "Chiến lược trò chơi",</v>
      </c>
    </row>
    <row r="1009" spans="1:5" ht="15.75" customHeight="1">
      <c r="A1009" s="6">
        <v>2084047654</v>
      </c>
      <c r="B1009" s="7" t="s">
        <v>166</v>
      </c>
      <c r="C1009" s="7" t="s">
        <v>1318</v>
      </c>
      <c r="D1009" s="3" t="str">
        <f ca="1">IFERROR(__xludf.DUMMYFUNCTION("GOOGLETRANSLATE(B1009,""ja"",""vi"")"),"tạp chí game")</f>
        <v>tạp chí game</v>
      </c>
      <c r="E1009" t="str">
        <f t="shared" ca="1" si="15"/>
        <v>"2084047654" : "tạp chí game",</v>
      </c>
    </row>
    <row r="1010" spans="1:5" ht="15.75" customHeight="1">
      <c r="A1010" s="6">
        <v>2084005119</v>
      </c>
      <c r="B1010" s="7" t="s">
        <v>1163</v>
      </c>
      <c r="C1010" s="7" t="s">
        <v>1319</v>
      </c>
      <c r="D1010" s="3" t="str">
        <f ca="1">IFERROR(__xludf.DUMMYFUNCTION("GOOGLETRANSLATE(B1010,""ja"",""vi"")"),"thẻ điện thoại")</f>
        <v>thẻ điện thoại</v>
      </c>
      <c r="E1010" t="str">
        <f t="shared" ca="1" si="15"/>
        <v>"2084005119" : "thẻ điện thoại",</v>
      </c>
    </row>
    <row r="1011" spans="1:5" ht="15.75" customHeight="1">
      <c r="A1011" s="6">
        <v>22892</v>
      </c>
      <c r="B1011" s="7" t="s">
        <v>105</v>
      </c>
      <c r="C1011" s="7" t="s">
        <v>1320</v>
      </c>
      <c r="D1011" s="3" t="str">
        <f ca="1">IFERROR(__xludf.DUMMYFUNCTION("GOOGLETRANSLATE(B1011,""ja"",""vi"")"),"nếu không thì")</f>
        <v>nếu không thì</v>
      </c>
      <c r="E1011" t="str">
        <f t="shared" ca="1" si="15"/>
        <v>"22892" : "nếu không thì",</v>
      </c>
    </row>
    <row r="1012" spans="1:5" ht="15.75" customHeight="1">
      <c r="A1012" s="6">
        <v>2084024166</v>
      </c>
      <c r="B1012" s="7" t="s">
        <v>1584</v>
      </c>
      <c r="C1012" s="7" t="s">
        <v>1585</v>
      </c>
      <c r="D1012" s="3" t="str">
        <f ca="1">IFERROR(__xludf.DUMMYFUNCTION("GOOGLETRANSLATE(B1012,""ja"",""vi"")"),"AIBO")</f>
        <v>AIBO</v>
      </c>
      <c r="E1012" t="str">
        <f t="shared" ca="1" si="15"/>
        <v>"2084024166" : "AIBO",</v>
      </c>
    </row>
    <row r="1013" spans="1:5" ht="15.75" customHeight="1">
      <c r="A1013" s="6">
        <v>26076</v>
      </c>
      <c r="B1013" s="7" t="s">
        <v>1586</v>
      </c>
      <c r="C1013" s="7" t="s">
        <v>1587</v>
      </c>
      <c r="D1013" s="3" t="str">
        <f ca="1">IFERROR(__xludf.DUMMYFUNCTION("GOOGLETRANSLATE(B1013,""ja"",""vi"")"),"Tamagotchi")</f>
        <v>Tamagotchi</v>
      </c>
      <c r="E1013" t="str">
        <f t="shared" ca="1" si="15"/>
        <v>"26076" : "Tamagotchi",</v>
      </c>
    </row>
    <row r="1014" spans="1:5" ht="15.75" customHeight="1">
      <c r="A1014" s="6">
        <v>40007</v>
      </c>
      <c r="B1014" s="7" t="s">
        <v>1055</v>
      </c>
      <c r="C1014" s="7" t="s">
        <v>1588</v>
      </c>
      <c r="D1014" s="3" t="str">
        <f ca="1">IFERROR(__xludf.DUMMYFUNCTION("GOOGLETRANSLATE(B1014,""ja"",""vi"")"),"Furby")</f>
        <v>Furby</v>
      </c>
      <c r="E1014" t="str">
        <f t="shared" ca="1" si="15"/>
        <v>"40007" : "Furby",</v>
      </c>
    </row>
    <row r="1015" spans="1:5" ht="15.75" customHeight="1">
      <c r="A1015" s="6">
        <v>2084024168</v>
      </c>
      <c r="B1015" s="7" t="s">
        <v>1589</v>
      </c>
      <c r="C1015" s="7" t="s">
        <v>1590</v>
      </c>
      <c r="D1015" s="3" t="str">
        <f ca="1">IFERROR(__xludf.DUMMYFUNCTION("GOOGLETRANSLATE(B1015,""ja"",""vi"")"),"Pooch")</f>
        <v>Pooch</v>
      </c>
      <c r="E1015" t="str">
        <f t="shared" ca="1" si="15"/>
        <v>"2084024168" : "Pooch",</v>
      </c>
    </row>
    <row r="1016" spans="1:5" ht="15.75" customHeight="1">
      <c r="A1016" s="6">
        <v>2084024171</v>
      </c>
      <c r="B1016" s="7" t="s">
        <v>1058</v>
      </c>
      <c r="C1016" s="7" t="s">
        <v>1591</v>
      </c>
      <c r="D1016" s="3" t="str">
        <f ca="1">IFERROR(__xludf.DUMMYFUNCTION("GOOGLETRANSLATE(B1016,""ja"",""vi"")"),"Purimopueru")</f>
        <v>Purimopueru</v>
      </c>
      <c r="E1016" t="str">
        <f t="shared" ca="1" si="15"/>
        <v>"2084024171" : "Purimopueru",</v>
      </c>
    </row>
    <row r="1017" spans="1:5" ht="15.75" customHeight="1">
      <c r="A1017" s="6">
        <v>2084220981</v>
      </c>
      <c r="B1017" s="7" t="s">
        <v>1592</v>
      </c>
      <c r="C1017" s="7" t="s">
        <v>1593</v>
      </c>
      <c r="D1017" s="3" t="str">
        <f ca="1">IFERROR(__xludf.DUMMYFUNCTION("GOOGLETRANSLATE(B1017,""ja"",""vi"")"),"Wantame Puppy nhàn rỗi")</f>
        <v>Wantame Puppy nhàn rỗi</v>
      </c>
      <c r="E1017" t="str">
        <f t="shared" ca="1" si="15"/>
        <v>"2084220981" : "Wantame Puppy nhàn rỗi",</v>
      </c>
    </row>
    <row r="1018" spans="1:5" ht="15.75" customHeight="1">
      <c r="A1018" s="6">
        <v>2084024175</v>
      </c>
      <c r="B1018" s="7" t="s">
        <v>105</v>
      </c>
      <c r="C1018" s="7" t="s">
        <v>1594</v>
      </c>
      <c r="D1018" s="3" t="str">
        <f ca="1">IFERROR(__xludf.DUMMYFUNCTION("GOOGLETRANSLATE(B1018,""ja"",""vi"")"),"nếu không thì")</f>
        <v>nếu không thì</v>
      </c>
      <c r="E1018" t="str">
        <f t="shared" ca="1" si="15"/>
        <v>"2084024175" : "nếu không thì",</v>
      </c>
    </row>
    <row r="1019" spans="1:5" ht="15.75" customHeight="1">
      <c r="A1019" s="6">
        <v>42117</v>
      </c>
      <c r="B1019" s="7" t="s">
        <v>1595</v>
      </c>
      <c r="C1019" s="7" t="s">
        <v>1596</v>
      </c>
      <c r="D1019" s="3" t="str">
        <f ca="1">IFERROR(__xludf.DUMMYFUNCTION("GOOGLETRANSLATE(B1019,""ja"",""vi"")"),"Tập 4: A New Hope")</f>
        <v>Tập 4: A New Hope</v>
      </c>
      <c r="E1019" t="str">
        <f t="shared" ca="1" si="15"/>
        <v>"42117" : "Tập 4: A New Hope",</v>
      </c>
    </row>
    <row r="1020" spans="1:5" ht="15.75" customHeight="1">
      <c r="A1020" s="6">
        <v>42118</v>
      </c>
      <c r="B1020" s="7" t="s">
        <v>1597</v>
      </c>
      <c r="C1020" s="7" t="s">
        <v>1598</v>
      </c>
      <c r="D1020" s="3" t="str">
        <f ca="1">IFERROR(__xludf.DUMMYFUNCTION("GOOGLETRANSLATE(B1020,""ja"",""vi"")"),"The Empire Strikes Back: Episode 5")</f>
        <v>The Empire Strikes Back: Episode 5</v>
      </c>
      <c r="E1020" t="str">
        <f t="shared" ca="1" si="15"/>
        <v>"42118" : "The Empire Strikes Back: Episode 5",</v>
      </c>
    </row>
    <row r="1021" spans="1:5" ht="15.75" customHeight="1">
      <c r="A1021" s="6">
        <v>42119</v>
      </c>
      <c r="B1021" s="7" t="s">
        <v>1599</v>
      </c>
      <c r="C1021" s="7" t="s">
        <v>1600</v>
      </c>
      <c r="D1021" s="3" t="str">
        <f ca="1">IFERROR(__xludf.DUMMYFUNCTION("GOOGLETRANSLATE(B1021,""ja"",""vi"")"),"Tập 6: Return of the Jedi")</f>
        <v>Tập 6: Return of the Jedi</v>
      </c>
      <c r="E1021" t="str">
        <f t="shared" ca="1" si="15"/>
        <v>"42119" : "Tập 6: Return of the Jedi",</v>
      </c>
    </row>
    <row r="1022" spans="1:5" ht="15.75" customHeight="1">
      <c r="A1022" s="6">
        <v>42120</v>
      </c>
      <c r="B1022" s="7" t="s">
        <v>1601</v>
      </c>
      <c r="C1022" s="7" t="s">
        <v>1602</v>
      </c>
      <c r="D1022" s="3" t="str">
        <f ca="1">IFERROR(__xludf.DUMMYFUNCTION("GOOGLETRANSLATE(B1022,""ja"",""vi"")"),"Episode 1: The Phantom Menace")</f>
        <v>Episode 1: The Phantom Menace</v>
      </c>
      <c r="E1022" t="str">
        <f t="shared" ca="1" si="15"/>
        <v>"42120" : "Episode 1: The Phantom Menace",</v>
      </c>
    </row>
    <row r="1023" spans="1:5" ht="15.75" customHeight="1">
      <c r="A1023" s="6">
        <v>42125</v>
      </c>
      <c r="B1023" s="7" t="s">
        <v>1574</v>
      </c>
      <c r="C1023" s="7" t="s">
        <v>1603</v>
      </c>
      <c r="D1023" s="3" t="str">
        <f ca="1">IFERROR(__xludf.DUMMYFUNCTION("GOOGLETRANSLATE(B1023,""ja"",""vi"")"),"LEGO")</f>
        <v>LEGO</v>
      </c>
      <c r="E1023" t="str">
        <f t="shared" ca="1" si="15"/>
        <v>"42125" : "LEGO",</v>
      </c>
    </row>
    <row r="1024" spans="1:5" ht="15.75" customHeight="1">
      <c r="A1024" s="6">
        <v>42224</v>
      </c>
      <c r="B1024" s="7" t="s">
        <v>1604</v>
      </c>
      <c r="C1024" s="7" t="s">
        <v>1605</v>
      </c>
      <c r="D1024" s="3" t="str">
        <f ca="1">IFERROR(__xludf.DUMMYFUNCTION("GOOGLETRANSLATE(B1024,""ja"",""vi"")"),"Bộ sưu tập chung")</f>
        <v>Bộ sưu tập chung</v>
      </c>
      <c r="E1024" t="str">
        <f t="shared" ca="1" si="15"/>
        <v>"42224" : "Bộ sưu tập chung",</v>
      </c>
    </row>
    <row r="1025" spans="1:5" ht="15.75" customHeight="1">
      <c r="A1025" s="6">
        <v>40577</v>
      </c>
      <c r="B1025" s="7" t="s">
        <v>1137</v>
      </c>
      <c r="C1025" s="7" t="s">
        <v>1606</v>
      </c>
      <c r="D1025" s="3" t="str">
        <f ca="1">IFERROR(__xludf.DUMMYFUNCTION("GOOGLETRANSLATE(B1025,""ja"",""vi"")"),"nhân vật")</f>
        <v>nhân vật</v>
      </c>
      <c r="E1025" t="str">
        <f t="shared" ca="1" si="15"/>
        <v>"40577" : "nhân vật",</v>
      </c>
    </row>
    <row r="1026" spans="1:5" ht="15.75" customHeight="1">
      <c r="A1026" s="6">
        <v>27575</v>
      </c>
      <c r="B1026" s="7" t="s">
        <v>105</v>
      </c>
      <c r="C1026" s="7" t="s">
        <v>1607</v>
      </c>
      <c r="D1026" s="3" t="str">
        <f ca="1">IFERROR(__xludf.DUMMYFUNCTION("GOOGLETRANSLATE(B1026,""ja"",""vi"")"),"nếu không thì")</f>
        <v>nếu không thì</v>
      </c>
      <c r="E1026" t="str">
        <f t="shared" ref="E1026:E1051" ca="1" si="16">CONCATENATE(CHAR(34)&amp;"",A1026,""&amp;CHAR(34)," : ", CHAR(34)&amp;"",D1026,""&amp;CHAR(34),",")</f>
        <v>"27575" : "nếu không thì",</v>
      </c>
    </row>
    <row r="1027" spans="1:5" ht="15.75" customHeight="1">
      <c r="A1027" s="6">
        <v>2084019386</v>
      </c>
      <c r="B1027" s="7" t="s">
        <v>1608</v>
      </c>
      <c r="C1027" s="7" t="s">
        <v>1609</v>
      </c>
      <c r="D1027" s="3" t="str">
        <f ca="1">IFERROR(__xludf.DUMMYFUNCTION("GOOGLETRANSLATE(B1027,""ja"",""vi"")"),"nhân vật McDonald")</f>
        <v>nhân vật McDonald</v>
      </c>
      <c r="E1027" t="str">
        <f t="shared" ca="1" si="16"/>
        <v>"2084019386" : "nhân vật McDonald",</v>
      </c>
    </row>
    <row r="1028" spans="1:5" ht="15.75" customHeight="1">
      <c r="A1028" s="6">
        <v>2084019415</v>
      </c>
      <c r="B1028" s="7" t="s">
        <v>1610</v>
      </c>
      <c r="C1028" s="7" t="s">
        <v>1611</v>
      </c>
      <c r="D1028" s="3" t="str">
        <f ca="1">IFERROR(__xludf.DUMMYFUNCTION("GOOGLETRANSLATE(B1028,""ja"",""vi"")"),"thế vận hội")</f>
        <v>thế vận hội</v>
      </c>
      <c r="E1028" t="str">
        <f t="shared" ca="1" si="16"/>
        <v>"2084019415" : "thế vận hội",</v>
      </c>
    </row>
    <row r="1029" spans="1:5" ht="15.75" customHeight="1">
      <c r="A1029" s="6">
        <v>2084005551</v>
      </c>
      <c r="B1029" s="7" t="s">
        <v>1612</v>
      </c>
      <c r="C1029" s="7" t="s">
        <v>1613</v>
      </c>
      <c r="D1029" s="3" t="str">
        <f ca="1">IFERROR(__xludf.DUMMYFUNCTION("GOOGLETRANSLATE(B1029,""ja"",""vi"")"),"Snoopy, Peanuts")</f>
        <v>Snoopy, Peanuts</v>
      </c>
      <c r="E1029" t="str">
        <f t="shared" ca="1" si="16"/>
        <v>"2084005551" : "Snoopy, Peanuts",</v>
      </c>
    </row>
    <row r="1030" spans="1:5" ht="15.75" customHeight="1">
      <c r="A1030" s="6">
        <v>2084019413</v>
      </c>
      <c r="B1030" s="7" t="s">
        <v>1614</v>
      </c>
      <c r="C1030" s="7" t="s">
        <v>1615</v>
      </c>
      <c r="D1030" s="3" t="str">
        <f ca="1">IFERROR(__xludf.DUMMYFUNCTION("GOOGLETRANSLATE(B1030,""ja"",""vi"")"),"Teddy Bear")</f>
        <v>Teddy Bear</v>
      </c>
      <c r="E1030" t="str">
        <f t="shared" ca="1" si="16"/>
        <v>"2084019413" : "Teddy Bear",</v>
      </c>
    </row>
    <row r="1031" spans="1:5" ht="15.75" customHeight="1">
      <c r="A1031" s="6">
        <v>2084005550</v>
      </c>
      <c r="B1031" s="7" t="s">
        <v>429</v>
      </c>
      <c r="C1031" s="7" t="s">
        <v>1616</v>
      </c>
      <c r="D1031" s="3" t="str">
        <f ca="1">IFERROR(__xludf.DUMMYFUNCTION("GOOGLETRANSLATE(B1031,""ja"",""vi"")"),"Disney")</f>
        <v>Disney</v>
      </c>
      <c r="E1031" t="str">
        <f t="shared" ca="1" si="16"/>
        <v>"2084005550" : "Disney",</v>
      </c>
    </row>
    <row r="1032" spans="1:5" ht="15.75" customHeight="1">
      <c r="A1032" s="6">
        <v>2084019423</v>
      </c>
      <c r="B1032" s="7" t="s">
        <v>645</v>
      </c>
      <c r="C1032" s="7" t="s">
        <v>1617</v>
      </c>
      <c r="D1032" s="3" t="str">
        <f ca="1">IFERROR(__xludf.DUMMYFUNCTION("GOOGLETRANSLATE(B1032,""ja"",""vi"")"),"Hello Kitty")</f>
        <v>Hello Kitty</v>
      </c>
      <c r="E1032" t="str">
        <f t="shared" ca="1" si="16"/>
        <v>"2084019423" : "Hello Kitty",</v>
      </c>
    </row>
    <row r="1033" spans="1:5" ht="15.75" customHeight="1">
      <c r="A1033" s="6">
        <v>2084019412</v>
      </c>
      <c r="B1033" s="7" t="s">
        <v>953</v>
      </c>
      <c r="C1033" s="7" t="s">
        <v>1618</v>
      </c>
      <c r="D1033" s="3" t="str">
        <f ca="1">IFERROR(__xludf.DUMMYFUNCTION("GOOGLETRANSLATE(B1033,""ja"",""vi"")"),"búp bê Barbie")</f>
        <v>búp bê Barbie</v>
      </c>
      <c r="E1033" t="str">
        <f t="shared" ca="1" si="16"/>
        <v>"2084019412" : "búp bê Barbie",</v>
      </c>
    </row>
    <row r="1034" spans="1:5" ht="15.75" customHeight="1">
      <c r="A1034" s="6">
        <v>2084045597</v>
      </c>
      <c r="B1034" s="7" t="s">
        <v>1619</v>
      </c>
      <c r="C1034" s="7" t="s">
        <v>1620</v>
      </c>
      <c r="D1034" s="3" t="str">
        <f ca="1">IFERROR(__xludf.DUMMYFUNCTION("GOOGLETRANSLATE(B1034,""ja"",""vi"")"),"nhân vật PlayStation")</f>
        <v>nhân vật PlayStation</v>
      </c>
      <c r="E1034" t="str">
        <f t="shared" ca="1" si="16"/>
        <v>"2084045597" : "nhân vật PlayStation",</v>
      </c>
    </row>
    <row r="1035" spans="1:5" ht="15.75" customHeight="1">
      <c r="A1035" s="6">
        <v>2084019414</v>
      </c>
      <c r="B1035" s="7" t="s">
        <v>1621</v>
      </c>
      <c r="C1035" s="7" t="s">
        <v>1622</v>
      </c>
      <c r="D1035" s="3" t="str">
        <f ca="1">IFERROR(__xludf.DUMMYFUNCTION("GOOGLETRANSLATE(B1035,""ja"",""vi"")"),"minicar")</f>
        <v>minicar</v>
      </c>
      <c r="E1035" t="str">
        <f t="shared" ca="1" si="16"/>
        <v>"2084019414" : "minicar",</v>
      </c>
    </row>
    <row r="1036" spans="1:5" ht="15.75" customHeight="1">
      <c r="A1036" s="6">
        <v>2084032558</v>
      </c>
      <c r="B1036" s="7" t="s">
        <v>105</v>
      </c>
      <c r="C1036" s="7" t="s">
        <v>1623</v>
      </c>
      <c r="D1036" s="3" t="str">
        <f ca="1">IFERROR(__xludf.DUMMYFUNCTION("GOOGLETRANSLATE(B1036,""ja"",""vi"")"),"nếu không thì")</f>
        <v>nếu không thì</v>
      </c>
      <c r="E1036" t="str">
        <f t="shared" ca="1" si="16"/>
        <v>"2084032558" : "nếu không thì",</v>
      </c>
    </row>
    <row r="1037" spans="1:5" ht="15.75" customHeight="1">
      <c r="A1037" s="6">
        <v>2084019417</v>
      </c>
      <c r="B1037" s="7" t="s">
        <v>1624</v>
      </c>
      <c r="C1037" s="7" t="s">
        <v>1625</v>
      </c>
      <c r="D1037" s="3" t="str">
        <f ca="1">IFERROR(__xludf.DUMMYFUNCTION("GOOGLETRANSLATE(B1037,""ja"",""vi"")"),"túi tote")</f>
        <v>túi tote</v>
      </c>
      <c r="E1037" t="str">
        <f t="shared" ca="1" si="16"/>
        <v>"2084019417" : "túi tote",</v>
      </c>
    </row>
    <row r="1038" spans="1:5" ht="15.75" customHeight="1">
      <c r="A1038" s="6">
        <v>2084019421</v>
      </c>
      <c r="B1038" s="7" t="s">
        <v>1626</v>
      </c>
      <c r="C1038" s="7" t="s">
        <v>1627</v>
      </c>
      <c r="D1038" s="3" t="str">
        <f ca="1">IFERROR(__xludf.DUMMYFUNCTION("GOOGLETRANSLATE(B1038,""ja"",""vi"")"),"Máy tính xách tay, máy tính xách tay")</f>
        <v>Máy tính xách tay, máy tính xách tay</v>
      </c>
      <c r="E1038" t="str">
        <f t="shared" ca="1" si="16"/>
        <v>"2084019421" : "Máy tính xách tay, máy tính xách tay",</v>
      </c>
    </row>
    <row r="1039" spans="1:5" ht="15.75" customHeight="1">
      <c r="A1039" s="6">
        <v>2084019418</v>
      </c>
      <c r="B1039" s="7" t="s">
        <v>1628</v>
      </c>
      <c r="C1039" s="7" t="s">
        <v>1629</v>
      </c>
      <c r="D1039" s="3" t="str">
        <f ca="1">IFERROR(__xludf.DUMMYFUNCTION("GOOGLETRANSLATE(B1039,""ja"",""vi"")"),"túi")</f>
        <v>túi</v>
      </c>
      <c r="E1039" t="str">
        <f t="shared" ca="1" si="16"/>
        <v>"2084019418" : "túi",</v>
      </c>
    </row>
    <row r="1040" spans="1:5" ht="15.75" customHeight="1">
      <c r="A1040" s="6">
        <v>2084019416</v>
      </c>
      <c r="B1040" s="7" t="s">
        <v>1630</v>
      </c>
      <c r="C1040" s="7" t="s">
        <v>1631</v>
      </c>
      <c r="D1040" s="3" t="str">
        <f ca="1">IFERROR(__xludf.DUMMYFUNCTION("GOOGLETRANSLATE(B1040,""ja"",""vi"")"),"cái bị của người đi du lịch")</f>
        <v>cái bị của người đi du lịch</v>
      </c>
      <c r="E1040" t="str">
        <f t="shared" ca="1" si="16"/>
        <v>"2084019416" : "cái bị của người đi du lịch",</v>
      </c>
    </row>
    <row r="1041" spans="1:5" ht="15.75" customHeight="1">
      <c r="A1041" s="6">
        <v>2084019420</v>
      </c>
      <c r="B1041" s="7" t="s">
        <v>1632</v>
      </c>
      <c r="C1041" s="7" t="s">
        <v>1633</v>
      </c>
      <c r="D1041" s="3" t="str">
        <f ca="1">IFERROR(__xludf.DUMMYFUNCTION("GOOGLETRANSLATE(B1041,""ja"",""vi"")"),"đồ dùng trên bàn")</f>
        <v>đồ dùng trên bàn</v>
      </c>
      <c r="E1041" t="str">
        <f t="shared" ca="1" si="16"/>
        <v>"2084019420" : "đồ dùng trên bàn",</v>
      </c>
    </row>
    <row r="1042" spans="1:5" ht="15.75" customHeight="1">
      <c r="A1042" s="6">
        <v>2084019419</v>
      </c>
      <c r="B1042" s="7" t="s">
        <v>1634</v>
      </c>
      <c r="C1042" s="7" t="s">
        <v>1635</v>
      </c>
      <c r="D1042" s="3" t="str">
        <f ca="1">IFERROR(__xludf.DUMMYFUNCTION("GOOGLETRANSLATE(B1042,""ja"",""vi"")"),"hộp ăn trưa")</f>
        <v>hộp ăn trưa</v>
      </c>
      <c r="E1042" t="str">
        <f t="shared" ca="1" si="16"/>
        <v>"2084019419" : "hộp ăn trưa",</v>
      </c>
    </row>
    <row r="1043" spans="1:5" ht="15.75" customHeight="1">
      <c r="A1043" s="6">
        <v>2084019422</v>
      </c>
      <c r="B1043" s="7" t="s">
        <v>105</v>
      </c>
      <c r="C1043" s="7" t="s">
        <v>1636</v>
      </c>
      <c r="D1043" s="3" t="str">
        <f ca="1">IFERROR(__xludf.DUMMYFUNCTION("GOOGLETRANSLATE(B1043,""ja"",""vi"")"),"nếu không thì")</f>
        <v>nếu không thì</v>
      </c>
      <c r="E1043" t="str">
        <f t="shared" ca="1" si="16"/>
        <v>"2084019422" : "nếu không thì",</v>
      </c>
    </row>
    <row r="1044" spans="1:5" ht="15.75" customHeight="1">
      <c r="A1044" s="6">
        <v>2084263227</v>
      </c>
      <c r="B1044" s="7" t="s">
        <v>1637</v>
      </c>
      <c r="C1044" s="7" t="s">
        <v>1638</v>
      </c>
      <c r="D1044" s="3" t="str">
        <f ca="1">IFERROR(__xludf.DUMMYFUNCTION("GOOGLETRANSLATE(B1044,""ja"",""vi"")"),"1 người -")</f>
        <v>1 người -</v>
      </c>
      <c r="E1044" t="str">
        <f t="shared" ca="1" si="16"/>
        <v>"2084263227" : "1 người -",</v>
      </c>
    </row>
    <row r="1045" spans="1:5" ht="15.75" customHeight="1">
      <c r="A1045" s="6">
        <v>2084263228</v>
      </c>
      <c r="B1045" s="7" t="s">
        <v>1639</v>
      </c>
      <c r="C1045" s="7" t="s">
        <v>1640</v>
      </c>
      <c r="D1045" s="3" t="str">
        <f ca="1">IFERROR(__xludf.DUMMYFUNCTION("GOOGLETRANSLATE(B1045,""ja"",""vi"")"),"4 người -")</f>
        <v>4 người -</v>
      </c>
      <c r="E1045" t="str">
        <f t="shared" ca="1" si="16"/>
        <v>"2084263228" : "4 người -",</v>
      </c>
    </row>
    <row r="1046" spans="1:5" ht="15.75" customHeight="1">
      <c r="A1046" s="6">
        <v>2084263392</v>
      </c>
      <c r="B1046" s="7" t="s">
        <v>1641</v>
      </c>
      <c r="C1046" s="7" t="s">
        <v>1642</v>
      </c>
      <c r="D1046" s="3" t="str">
        <f ca="1">IFERROR(__xludf.DUMMYFUNCTION("GOOGLETRANSLATE(B1046,""ja"",""vi"")"),"8 người -")</f>
        <v>8 người -</v>
      </c>
      <c r="E1046" t="str">
        <f t="shared" ca="1" si="16"/>
        <v>"2084263392" : "8 người -",</v>
      </c>
    </row>
    <row r="1047" spans="1:5" ht="15.75" customHeight="1">
      <c r="A1047" s="6">
        <v>2084046762</v>
      </c>
      <c r="B1047" s="7" t="s">
        <v>1643</v>
      </c>
      <c r="C1047" s="7" t="s">
        <v>1644</v>
      </c>
      <c r="D1047" s="3" t="str">
        <f ca="1">IFERROR(__xludf.DUMMYFUNCTION("GOOGLETRANSLATE(B1047,""ja"",""vi"")"),"Tarp")</f>
        <v>Tarp</v>
      </c>
      <c r="E1047" t="str">
        <f t="shared" ca="1" si="16"/>
        <v>"2084046762" : "Tarp",</v>
      </c>
    </row>
    <row r="1048" spans="1:5" ht="15.75" customHeight="1">
      <c r="A1048" s="6">
        <v>2084208878</v>
      </c>
      <c r="B1048" s="7" t="s">
        <v>1645</v>
      </c>
      <c r="C1048" s="7" t="s">
        <v>1646</v>
      </c>
      <c r="D1048" s="3" t="str">
        <f ca="1">IFERROR(__xludf.DUMMYFUNCTION("GOOGLETRANSLATE(B1048,""ja"",""vi"")"),"bãi biển ô")</f>
        <v>bãi biển ô</v>
      </c>
      <c r="E1048" t="str">
        <f t="shared" ca="1" si="16"/>
        <v>"2084208878" : "bãi biển ô",</v>
      </c>
    </row>
    <row r="1049" spans="1:5" ht="15.75" customHeight="1">
      <c r="A1049" s="6">
        <v>24970</v>
      </c>
      <c r="B1049" s="7" t="s">
        <v>1647</v>
      </c>
      <c r="C1049" s="7" t="s">
        <v>1648</v>
      </c>
      <c r="D1049" s="3" t="str">
        <f ca="1">IFERROR(__xludf.DUMMYFUNCTION("GOOGLETRANSLATE(B1049,""ja"",""vi"")"),"Túi ngủ, giường, giường")</f>
        <v>Túi ngủ, giường, giường</v>
      </c>
      <c r="E1049" t="str">
        <f t="shared" ca="1" si="16"/>
        <v>"24970" : "Túi ngủ, giường, giường",</v>
      </c>
    </row>
    <row r="1050" spans="1:5" ht="15.75" customHeight="1">
      <c r="A1050" s="6">
        <v>2084046745</v>
      </c>
      <c r="B1050" s="7" t="s">
        <v>1649</v>
      </c>
      <c r="C1050" s="7" t="s">
        <v>1650</v>
      </c>
      <c r="D1050" s="3" t="str">
        <f ca="1">IFERROR(__xludf.DUMMYFUNCTION("GOOGLETRANSLATE(B1050,""ja"",""vi"")"),"ghế")</f>
        <v>ghế</v>
      </c>
      <c r="E1050" t="str">
        <f t="shared" ca="1" si="16"/>
        <v>"2084046745" : "ghế",</v>
      </c>
    </row>
    <row r="1051" spans="1:5" ht="15.75" customHeight="1">
      <c r="A1051" s="6">
        <v>2084046744</v>
      </c>
      <c r="B1051" s="7" t="s">
        <v>1651</v>
      </c>
      <c r="C1051" s="7" t="s">
        <v>1652</v>
      </c>
      <c r="D1051" s="3" t="str">
        <f ca="1">IFERROR(__xludf.DUMMYFUNCTION("GOOGLETRANSLATE(B1051,""ja"",""vi"")"),"bàn")</f>
        <v>bàn</v>
      </c>
      <c r="E1051" t="str">
        <f t="shared" ca="1" si="16"/>
        <v>"2084046744" : "bàn",</v>
      </c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16" workbookViewId="0">
      <selection activeCell="D31" sqref="D31"/>
    </sheetView>
  </sheetViews>
  <sheetFormatPr defaultRowHeight="13.8"/>
  <cols>
    <col min="1" max="1" width="14.796875" customWidth="1"/>
    <col min="2" max="2" width="16.296875" customWidth="1"/>
    <col min="3" max="3" width="47.796875" customWidth="1"/>
    <col min="5" max="5" width="57.8984375" customWidth="1"/>
  </cols>
  <sheetData>
    <row r="1" spans="1:6" ht="20.399999999999999">
      <c r="A1" s="9">
        <v>2084235752</v>
      </c>
      <c r="B1" s="10" t="s">
        <v>1653</v>
      </c>
      <c r="C1" s="10" t="s">
        <v>1654</v>
      </c>
      <c r="D1" s="11" t="s">
        <v>1655</v>
      </c>
      <c r="E1" s="12" t="s">
        <v>1656</v>
      </c>
      <c r="F1" s="13" t="str">
        <f>CONCATENATE(CHAR(34)&amp;"",A1,""&amp;CHAR(34)," : ", CHAR(34)&amp;"",D1,""&amp;CHAR(34),",")</f>
        <v>"2084235752" : "Đối với Honda",</v>
      </c>
    </row>
    <row r="2" spans="1:6" ht="21">
      <c r="A2" s="9">
        <v>2084235753</v>
      </c>
      <c r="B2" s="10" t="s">
        <v>1657</v>
      </c>
      <c r="C2" s="10" t="s">
        <v>1658</v>
      </c>
      <c r="D2" s="11" t="s">
        <v>1659</v>
      </c>
      <c r="E2" s="12" t="s">
        <v>1660</v>
      </c>
      <c r="F2" s="13" t="str">
        <f t="shared" ref="F2:F27" si="0">CONCATENATE(CHAR(34)&amp;"",A2,""&amp;CHAR(34)," : ", CHAR(34)&amp;"",D2,""&amp;CHAR(34),",")</f>
        <v>"2084235753" : "Đối với Yamaha",</v>
      </c>
    </row>
    <row r="3" spans="1:6" ht="21">
      <c r="A3" s="9">
        <v>2084235754</v>
      </c>
      <c r="B3" s="10" t="s">
        <v>1661</v>
      </c>
      <c r="C3" s="10" t="s">
        <v>1662</v>
      </c>
      <c r="D3" s="11" t="s">
        <v>1663</v>
      </c>
      <c r="E3" s="12" t="s">
        <v>1664</v>
      </c>
      <c r="F3" s="13" t="str">
        <f t="shared" si="0"/>
        <v>"2084235754" : "Đối với Suzuki",</v>
      </c>
    </row>
    <row r="4" spans="1:6" ht="21">
      <c r="A4" s="9">
        <v>2084235755</v>
      </c>
      <c r="B4" s="10" t="s">
        <v>1665</v>
      </c>
      <c r="C4" s="10" t="s">
        <v>1666</v>
      </c>
      <c r="D4" s="11" t="s">
        <v>1667</v>
      </c>
      <c r="E4" s="12" t="s">
        <v>1668</v>
      </c>
      <c r="F4" s="13" t="str">
        <f t="shared" si="0"/>
        <v>"2084235755" : "Đối với Kawasaki",</v>
      </c>
    </row>
    <row r="5" spans="1:6" ht="20.399999999999999">
      <c r="A5" s="9">
        <v>2084237398</v>
      </c>
      <c r="B5" s="10" t="s">
        <v>1669</v>
      </c>
      <c r="C5" s="10" t="s">
        <v>1670</v>
      </c>
      <c r="D5" s="11" t="s">
        <v>1671</v>
      </c>
      <c r="E5" s="12" t="s">
        <v>1672</v>
      </c>
      <c r="F5" s="13" t="str">
        <f t="shared" si="0"/>
        <v>"2084237398" : "Đối với BMW",</v>
      </c>
    </row>
    <row r="6" spans="1:6" ht="20.399999999999999">
      <c r="A6" s="9">
        <v>2084237399</v>
      </c>
      <c r="B6" s="10" t="s">
        <v>1673</v>
      </c>
      <c r="C6" s="10" t="s">
        <v>1674</v>
      </c>
      <c r="D6" s="11" t="s">
        <v>1675</v>
      </c>
      <c r="E6" s="12" t="s">
        <v>1676</v>
      </c>
      <c r="F6" s="13" t="str">
        <f t="shared" si="0"/>
        <v>"2084237399" : "Đối với Ducati",</v>
      </c>
    </row>
    <row r="7" spans="1:6" ht="30.6">
      <c r="A7" s="9">
        <v>2084237400</v>
      </c>
      <c r="B7" s="10" t="s">
        <v>1677</v>
      </c>
      <c r="C7" s="10" t="s">
        <v>1678</v>
      </c>
      <c r="D7" s="11" t="s">
        <v>1679</v>
      </c>
      <c r="E7" s="12" t="s">
        <v>1680</v>
      </c>
      <c r="F7" s="13" t="str">
        <f t="shared" si="0"/>
        <v>"2084237400" : "Đối với Harley Davidson",</v>
      </c>
    </row>
    <row r="8" spans="1:6" ht="21">
      <c r="A8" s="9">
        <v>2084235237</v>
      </c>
      <c r="B8" s="10" t="s">
        <v>1681</v>
      </c>
      <c r="C8" s="10" t="s">
        <v>1682</v>
      </c>
      <c r="D8" s="11" t="s">
        <v>1683</v>
      </c>
      <c r="E8" s="12" t="s">
        <v>1684</v>
      </c>
      <c r="F8" s="13" t="str">
        <f t="shared" si="0"/>
        <v>"2084235237" : "Trường hợp đầu",</v>
      </c>
    </row>
    <row r="9" spans="1:6" ht="21">
      <c r="A9" s="9">
        <v>2084235236</v>
      </c>
      <c r="B9" s="10" t="s">
        <v>1685</v>
      </c>
      <c r="C9" s="10" t="s">
        <v>1686</v>
      </c>
      <c r="D9" s="11" t="s">
        <v>1687</v>
      </c>
      <c r="E9" s="12" t="s">
        <v>1688</v>
      </c>
      <c r="F9" s="13" t="str">
        <f t="shared" si="0"/>
        <v>"2084235236" : "trường hợp thúng",</v>
      </c>
    </row>
    <row r="10" spans="1:6" ht="20.399999999999999">
      <c r="A10" s="9">
        <v>2084235378</v>
      </c>
      <c r="B10" s="10" t="s">
        <v>1689</v>
      </c>
      <c r="C10" s="10" t="s">
        <v>1690</v>
      </c>
      <c r="D10" s="11" t="s">
        <v>1691</v>
      </c>
      <c r="E10" s="12" t="s">
        <v>1692</v>
      </c>
      <c r="F10" s="13" t="str">
        <f t="shared" si="0"/>
        <v>"2084235378" : "giỏ trước",</v>
      </c>
    </row>
    <row r="11" spans="1:6" ht="20.399999999999999">
      <c r="A11" s="9">
        <v>2084235756</v>
      </c>
      <c r="B11" s="10" t="s">
        <v>105</v>
      </c>
      <c r="C11" s="10" t="s">
        <v>1693</v>
      </c>
      <c r="D11" s="11" t="s">
        <v>1694</v>
      </c>
      <c r="E11" s="12" t="s">
        <v>1695</v>
      </c>
      <c r="F11" s="13" t="str">
        <f t="shared" si="0"/>
        <v>"2084235756" : "nếu không thì",</v>
      </c>
    </row>
    <row r="12" spans="1:6" ht="20.399999999999999">
      <c r="A12" s="9">
        <v>2084235752</v>
      </c>
      <c r="B12" s="10" t="s">
        <v>1653</v>
      </c>
      <c r="C12" s="10" t="s">
        <v>1654</v>
      </c>
      <c r="D12" s="11" t="s">
        <v>1655</v>
      </c>
      <c r="E12" s="12" t="s">
        <v>1656</v>
      </c>
      <c r="F12" s="13" t="str">
        <f t="shared" si="0"/>
        <v>"2084235752" : "Đối với Honda",</v>
      </c>
    </row>
    <row r="13" spans="1:6" ht="21">
      <c r="A13" s="9">
        <v>2084235753</v>
      </c>
      <c r="B13" s="10" t="s">
        <v>1657</v>
      </c>
      <c r="C13" s="10" t="s">
        <v>1658</v>
      </c>
      <c r="D13" s="11" t="s">
        <v>1659</v>
      </c>
      <c r="E13" s="12" t="s">
        <v>1660</v>
      </c>
      <c r="F13" s="13" t="str">
        <f t="shared" si="0"/>
        <v>"2084235753" : "Đối với Yamaha",</v>
      </c>
    </row>
    <row r="14" spans="1:6" ht="21">
      <c r="A14" s="9">
        <v>2084235754</v>
      </c>
      <c r="B14" s="10" t="s">
        <v>1661</v>
      </c>
      <c r="C14" s="10" t="s">
        <v>1662</v>
      </c>
      <c r="D14" s="11" t="s">
        <v>1663</v>
      </c>
      <c r="E14" s="12" t="s">
        <v>1664</v>
      </c>
      <c r="F14" s="13" t="str">
        <f t="shared" si="0"/>
        <v>"2084235754" : "Đối với Suzuki",</v>
      </c>
    </row>
    <row r="15" spans="1:6" ht="21">
      <c r="A15" s="9">
        <v>2084235755</v>
      </c>
      <c r="B15" s="10" t="s">
        <v>1665</v>
      </c>
      <c r="C15" s="10" t="s">
        <v>1666</v>
      </c>
      <c r="D15" s="11" t="s">
        <v>1667</v>
      </c>
      <c r="E15" s="12" t="s">
        <v>1668</v>
      </c>
      <c r="F15" s="13" t="str">
        <f t="shared" si="0"/>
        <v>"2084235755" : "Đối với Kawasaki",</v>
      </c>
    </row>
    <row r="16" spans="1:6" ht="20.399999999999999">
      <c r="A16" s="9">
        <v>2084237398</v>
      </c>
      <c r="B16" s="10" t="s">
        <v>1669</v>
      </c>
      <c r="C16" s="10" t="s">
        <v>1670</v>
      </c>
      <c r="D16" s="11" t="s">
        <v>1671</v>
      </c>
      <c r="E16" s="12" t="s">
        <v>1672</v>
      </c>
      <c r="F16" s="13" t="str">
        <f t="shared" si="0"/>
        <v>"2084237398" : "Đối với BMW",</v>
      </c>
    </row>
    <row r="17" spans="1:6" ht="20.399999999999999">
      <c r="A17" s="9">
        <v>2084237399</v>
      </c>
      <c r="B17" s="10" t="s">
        <v>1673</v>
      </c>
      <c r="C17" s="10" t="s">
        <v>1674</v>
      </c>
      <c r="D17" s="11" t="s">
        <v>1675</v>
      </c>
      <c r="E17" s="12" t="s">
        <v>1676</v>
      </c>
      <c r="F17" s="13" t="str">
        <f t="shared" si="0"/>
        <v>"2084237399" : "Đối với Ducati",</v>
      </c>
    </row>
    <row r="18" spans="1:6" ht="30.6">
      <c r="A18" s="9">
        <v>2084237400</v>
      </c>
      <c r="B18" s="10" t="s">
        <v>1677</v>
      </c>
      <c r="C18" s="10" t="s">
        <v>1678</v>
      </c>
      <c r="D18" s="11" t="s">
        <v>1679</v>
      </c>
      <c r="E18" s="12" t="s">
        <v>1680</v>
      </c>
      <c r="F18" s="13" t="str">
        <f t="shared" si="0"/>
        <v>"2084237400" : "Đối với Harley Davidson",</v>
      </c>
    </row>
    <row r="19" spans="1:6" ht="21">
      <c r="A19" s="9">
        <v>2084235237</v>
      </c>
      <c r="B19" s="10" t="s">
        <v>1681</v>
      </c>
      <c r="C19" s="10" t="s">
        <v>1682</v>
      </c>
      <c r="D19" s="11" t="s">
        <v>1683</v>
      </c>
      <c r="E19" s="12" t="s">
        <v>1684</v>
      </c>
      <c r="F19" s="13" t="str">
        <f t="shared" si="0"/>
        <v>"2084235237" : "Trường hợp đầu",</v>
      </c>
    </row>
    <row r="20" spans="1:6" ht="21">
      <c r="A20" s="9">
        <v>2084235236</v>
      </c>
      <c r="B20" s="10" t="s">
        <v>1685</v>
      </c>
      <c r="C20" s="10" t="s">
        <v>1686</v>
      </c>
      <c r="D20" s="11" t="s">
        <v>1687</v>
      </c>
      <c r="E20" s="12" t="s">
        <v>1688</v>
      </c>
      <c r="F20" s="13" t="str">
        <f t="shared" si="0"/>
        <v>"2084235236" : "trường hợp thúng",</v>
      </c>
    </row>
    <row r="21" spans="1:6" ht="20.399999999999999">
      <c r="A21" s="9">
        <v>2084235378</v>
      </c>
      <c r="B21" s="10" t="s">
        <v>1689</v>
      </c>
      <c r="C21" s="10" t="s">
        <v>1690</v>
      </c>
      <c r="D21" s="11" t="s">
        <v>1691</v>
      </c>
      <c r="E21" s="12" t="s">
        <v>1692</v>
      </c>
      <c r="F21" s="13" t="str">
        <f t="shared" si="0"/>
        <v>"2084235378" : "giỏ trước",</v>
      </c>
    </row>
    <row r="22" spans="1:6" ht="20.399999999999999">
      <c r="A22" s="9">
        <v>2084235756</v>
      </c>
      <c r="B22" s="10" t="s">
        <v>105</v>
      </c>
      <c r="C22" s="10" t="s">
        <v>1693</v>
      </c>
      <c r="D22" s="11" t="s">
        <v>1694</v>
      </c>
      <c r="E22" s="12" t="s">
        <v>1695</v>
      </c>
      <c r="F22" s="13" t="str">
        <f t="shared" si="0"/>
        <v>"2084235756" : "nếu không thì",</v>
      </c>
    </row>
    <row r="23" spans="1:6" ht="20.399999999999999">
      <c r="A23" s="9">
        <v>2084235259</v>
      </c>
      <c r="B23" s="10" t="s">
        <v>1696</v>
      </c>
      <c r="C23" s="10" t="s">
        <v>1697</v>
      </c>
      <c r="D23" s="11" t="s">
        <v>1698</v>
      </c>
      <c r="E23" s="12" t="s">
        <v>1699</v>
      </c>
      <c r="F23" s="13" t="str">
        <f t="shared" si="0"/>
        <v>"2084235259" : "U-lock",</v>
      </c>
    </row>
    <row r="24" spans="1:6" ht="20.399999999999999">
      <c r="A24" s="9">
        <v>2084235262</v>
      </c>
      <c r="B24" s="10" t="s">
        <v>1700</v>
      </c>
      <c r="C24" s="10" t="s">
        <v>1701</v>
      </c>
      <c r="D24" s="11" t="s">
        <v>1702</v>
      </c>
      <c r="E24" s="12" t="s">
        <v>1703</v>
      </c>
      <c r="F24" s="13" t="str">
        <f t="shared" si="0"/>
        <v>"2084235262" : "khóa đĩa",</v>
      </c>
    </row>
    <row r="25" spans="1:6" ht="30.6">
      <c r="A25" s="9">
        <v>2084235261</v>
      </c>
      <c r="B25" s="10" t="s">
        <v>1704</v>
      </c>
      <c r="C25" s="10" t="s">
        <v>1705</v>
      </c>
      <c r="D25" s="11" t="s">
        <v>1706</v>
      </c>
      <c r="E25" s="12" t="s">
        <v>1707</v>
      </c>
      <c r="F25" s="13" t="str">
        <f t="shared" si="0"/>
        <v>"2084235261" : "khóa dây, khóa xích",</v>
      </c>
    </row>
    <row r="26" spans="1:6" ht="20.399999999999999">
      <c r="A26" s="9">
        <v>2084235260</v>
      </c>
      <c r="B26" s="10" t="s">
        <v>1708</v>
      </c>
      <c r="C26" s="10" t="s">
        <v>1709</v>
      </c>
      <c r="D26" s="11" t="s">
        <v>1710</v>
      </c>
      <c r="E26" s="12" t="s">
        <v>1711</v>
      </c>
      <c r="F26" s="13" t="str">
        <f t="shared" si="0"/>
        <v>"2084235260" : "loại còng tay",</v>
      </c>
    </row>
    <row r="27" spans="1:6" ht="21" thickBot="1">
      <c r="A27" s="14">
        <v>2084235263</v>
      </c>
      <c r="B27" s="15" t="s">
        <v>105</v>
      </c>
      <c r="C27" s="15" t="s">
        <v>1712</v>
      </c>
      <c r="D27" s="16" t="s">
        <v>1694</v>
      </c>
      <c r="E27" s="17" t="s">
        <v>1713</v>
      </c>
      <c r="F27" s="8" t="str">
        <f t="shared" si="0"/>
        <v>"2084235263" : "nếu không thì",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25464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TOMONI-DEV1</dc:creator>
  <cp:lastModifiedBy>TOMONI-DEV1</cp:lastModifiedBy>
  <dcterms:created xsi:type="dcterms:W3CDTF">2015-06-05T18:17:20Z</dcterms:created>
  <dcterms:modified xsi:type="dcterms:W3CDTF">2019-12-09T02:00:21Z</dcterms:modified>
</cp:coreProperties>
</file>